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ables/table2.xml" ContentType="application/vnd.openxmlformats-officedocument.spreadsheetml.tab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EXT\FA\"/>
    </mc:Choice>
  </mc:AlternateContent>
  <xr:revisionPtr revIDLastSave="0" documentId="8_{3A8CB933-AC58-432F-9DE5-CD6435C751F1}" xr6:coauthVersionLast="47" xr6:coauthVersionMax="47" xr10:uidLastSave="{00000000-0000-0000-0000-000000000000}"/>
  <bookViews>
    <workbookView xWindow="-15" yWindow="-525" windowWidth="28830" windowHeight="15675" tabRatio="717" firstSheet="7" activeTab="12" xr2:uid="{00000000-000D-0000-FFFF-FFFF00000000}"/>
  </bookViews>
  <sheets>
    <sheet name="figure 1" sheetId="68" r:id="rId1"/>
    <sheet name="table 2" sheetId="80" r:id="rId2"/>
    <sheet name="figure 2" sheetId="70" r:id="rId3"/>
    <sheet name="figure 3" sheetId="71" r:id="rId4"/>
    <sheet name="Sheet1" sheetId="92" r:id="rId5"/>
    <sheet name="Table 3" sheetId="56" r:id="rId6"/>
    <sheet name="figure 4" sheetId="73" r:id="rId7"/>
    <sheet name="figure 5" sheetId="75" r:id="rId8"/>
    <sheet name="Figure 6" sheetId="84" r:id="rId9"/>
    <sheet name="Figure 8" sheetId="85" r:id="rId10"/>
    <sheet name="table 4" sheetId="78" r:id="rId11"/>
    <sheet name="appendix 1" sheetId="89" r:id="rId12"/>
    <sheet name="subsist for Moscow silver AK" sheetId="83" r:id="rId13"/>
    <sheet name="Sheet2" sheetId="93" r:id="rId14"/>
    <sheet name="appendix 2" sheetId="91" r:id="rId15"/>
    <sheet name="wages for Moscow in silver AK" sheetId="81" r:id="rId16"/>
    <sheet name="appendix 3 ratio calculations" sheetId="67" r:id="rId17"/>
    <sheet name="appendix 4 rus eng" sheetId="59" r:id="rId18"/>
    <sheet name="Sheet4" sheetId="58" r:id="rId19"/>
    <sheet name="дворовые расчеты 1786" sheetId="57" r:id="rId20"/>
    <sheet name="subsistence for Moscow" sheetId="49" r:id="rId21"/>
    <sheet name="wages for Moscow" sheetId="76" r:id="rId22"/>
    <sheet name="RW_yearly" sheetId="87" r:id="rId23"/>
    <sheet name="comparison" sheetId="77" r:id="rId24"/>
  </sheets>
  <definedNames>
    <definedName name="_ftnref1" localSheetId="16">'appendix 3 ratio calculations'!$U$3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83" l="1"/>
  <c r="U9" i="83"/>
  <c r="U19" i="83"/>
  <c r="U38" i="83"/>
  <c r="U37" i="83"/>
  <c r="U36" i="83"/>
  <c r="U41" i="83"/>
  <c r="U51" i="83"/>
  <c r="U63" i="83"/>
  <c r="U62" i="83"/>
  <c r="U61" i="83"/>
  <c r="U60" i="83"/>
  <c r="U76" i="83"/>
  <c r="U75" i="83"/>
  <c r="U74" i="83"/>
  <c r="U73" i="83"/>
  <c r="U72" i="83"/>
  <c r="U71" i="83"/>
  <c r="U70" i="83"/>
  <c r="U69" i="83"/>
  <c r="U68" i="83"/>
  <c r="U67" i="83"/>
  <c r="U66" i="83"/>
  <c r="U81" i="83"/>
  <c r="U80" i="83"/>
  <c r="U79" i="83"/>
  <c r="U84" i="83"/>
  <c r="U83" i="83"/>
  <c r="U89" i="83"/>
  <c r="U100" i="83"/>
  <c r="U99" i="83"/>
  <c r="U98" i="83"/>
  <c r="U107" i="83"/>
  <c r="U126" i="83"/>
  <c r="U125" i="83"/>
  <c r="U130" i="83"/>
  <c r="U145" i="83"/>
  <c r="U144" i="83"/>
  <c r="U143" i="83"/>
  <c r="U142" i="83"/>
  <c r="U141" i="83"/>
  <c r="U140" i="83"/>
  <c r="U139" i="83"/>
  <c r="U138" i="83"/>
  <c r="U137" i="83"/>
  <c r="U136" i="83"/>
  <c r="U146" i="83"/>
  <c r="AC92" i="93"/>
  <c r="V92" i="93"/>
  <c r="V193" i="93"/>
  <c r="V192" i="93"/>
  <c r="V191" i="93"/>
  <c r="V190" i="93"/>
  <c r="V189" i="93"/>
  <c r="V188" i="93"/>
  <c r="V187" i="93"/>
  <c r="V186" i="93"/>
  <c r="V185" i="93"/>
  <c r="V184" i="93"/>
  <c r="V183" i="93"/>
  <c r="V182" i="93"/>
  <c r="V181" i="93"/>
  <c r="V180" i="93"/>
  <c r="V179" i="93"/>
  <c r="V178" i="93"/>
  <c r="V177" i="93"/>
  <c r="V176" i="93"/>
  <c r="V175" i="93"/>
  <c r="V174" i="93"/>
  <c r="V173" i="93"/>
  <c r="V172" i="93"/>
  <c r="V171" i="93"/>
  <c r="V170" i="93"/>
  <c r="V169" i="93"/>
  <c r="V168" i="93"/>
  <c r="V167" i="93"/>
  <c r="V166" i="93"/>
  <c r="V165" i="93"/>
  <c r="V164" i="93"/>
  <c r="V163" i="93"/>
  <c r="V162" i="93"/>
  <c r="V161" i="93"/>
  <c r="V160" i="93"/>
  <c r="V159" i="93"/>
  <c r="V158" i="93"/>
  <c r="V157" i="93"/>
  <c r="V156" i="93"/>
  <c r="V155" i="93"/>
  <c r="V154" i="93"/>
  <c r="V153" i="93"/>
  <c r="V152" i="93"/>
  <c r="V151" i="93"/>
  <c r="V150" i="93"/>
  <c r="V149" i="93"/>
  <c r="V148" i="93"/>
  <c r="V147" i="93"/>
  <c r="V146" i="93"/>
  <c r="V145" i="93"/>
  <c r="V144" i="93"/>
  <c r="V143" i="93"/>
  <c r="V142" i="93"/>
  <c r="V141" i="93"/>
  <c r="V140" i="93"/>
  <c r="V139" i="93"/>
  <c r="V138" i="93"/>
  <c r="V137" i="93"/>
  <c r="V136" i="93"/>
  <c r="V135" i="93"/>
  <c r="V134" i="93"/>
  <c r="V133" i="93"/>
  <c r="V132" i="93"/>
  <c r="V131" i="93"/>
  <c r="V130" i="93"/>
  <c r="V129" i="93"/>
  <c r="V128" i="93"/>
  <c r="V127" i="93"/>
  <c r="V126" i="93"/>
  <c r="V125" i="93"/>
  <c r="V124" i="93"/>
  <c r="V123" i="93"/>
  <c r="V122" i="93"/>
  <c r="V121" i="93"/>
  <c r="V120" i="93"/>
  <c r="V119" i="93"/>
  <c r="V118" i="93"/>
  <c r="V117" i="93"/>
  <c r="V116" i="93"/>
  <c r="V115" i="93"/>
  <c r="V114" i="93"/>
  <c r="V113" i="93"/>
  <c r="V112" i="93"/>
  <c r="V111" i="93"/>
  <c r="V110" i="93"/>
  <c r="V109" i="93"/>
  <c r="V108" i="93"/>
  <c r="V107" i="93"/>
  <c r="V106" i="93"/>
  <c r="V105" i="93"/>
  <c r="V99" i="93"/>
  <c r="V97" i="93"/>
  <c r="V96" i="93"/>
  <c r="V93" i="93"/>
  <c r="V90" i="93"/>
  <c r="V89" i="93"/>
  <c r="V87" i="93"/>
  <c r="V86" i="93"/>
  <c r="V85" i="93"/>
  <c r="V84" i="93"/>
  <c r="V83" i="93"/>
  <c r="V82" i="93"/>
  <c r="V81" i="93"/>
  <c r="V80" i="93"/>
  <c r="V79" i="93"/>
  <c r="V78" i="93"/>
  <c r="V77" i="93"/>
  <c r="V76" i="93"/>
  <c r="V75" i="93"/>
  <c r="V74" i="93"/>
  <c r="V73" i="93"/>
  <c r="V72" i="93"/>
  <c r="V71" i="93"/>
  <c r="V70" i="93"/>
  <c r="V69" i="93"/>
  <c r="V68" i="93"/>
  <c r="V67" i="93"/>
  <c r="V66" i="93"/>
  <c r="V62" i="93"/>
  <c r="V61" i="93"/>
  <c r="V59" i="93"/>
  <c r="V56" i="93"/>
  <c r="V54" i="93"/>
  <c r="V53" i="93"/>
  <c r="V51" i="93"/>
  <c r="V48" i="93"/>
  <c r="V47" i="93"/>
  <c r="V46" i="93"/>
  <c r="V29" i="93"/>
  <c r="V27" i="93"/>
  <c r="V23" i="93"/>
  <c r="V20" i="93"/>
  <c r="V19" i="93"/>
  <c r="V16" i="93"/>
  <c r="V15" i="93"/>
  <c r="V12" i="93"/>
  <c r="V11" i="93"/>
  <c r="V10" i="93"/>
  <c r="V9" i="93"/>
  <c r="V8" i="93"/>
  <c r="V7" i="93"/>
  <c r="V6" i="93"/>
  <c r="V5" i="93"/>
  <c r="V4" i="93"/>
  <c r="V3" i="93"/>
  <c r="O193" i="93"/>
  <c r="K193" i="93"/>
  <c r="F193" i="93"/>
  <c r="O192" i="93"/>
  <c r="K192" i="93"/>
  <c r="F192" i="93"/>
  <c r="O191" i="93"/>
  <c r="K191" i="93"/>
  <c r="F191" i="93"/>
  <c r="O190" i="93"/>
  <c r="K190" i="93"/>
  <c r="F190" i="93"/>
  <c r="O189" i="93"/>
  <c r="K189" i="93"/>
  <c r="F189" i="93"/>
  <c r="O188" i="93"/>
  <c r="K188" i="93"/>
  <c r="F188" i="93"/>
  <c r="O187" i="93"/>
  <c r="K187" i="93"/>
  <c r="F187" i="93"/>
  <c r="O186" i="93"/>
  <c r="K186" i="93"/>
  <c r="F186" i="93"/>
  <c r="O185" i="93"/>
  <c r="K185" i="93"/>
  <c r="F185" i="93"/>
  <c r="O184" i="93"/>
  <c r="K184" i="93"/>
  <c r="F184" i="93"/>
  <c r="O183" i="93"/>
  <c r="K183" i="93"/>
  <c r="F183" i="93"/>
  <c r="O182" i="93"/>
  <c r="K182" i="93"/>
  <c r="F182" i="93"/>
  <c r="O181" i="93"/>
  <c r="K181" i="93"/>
  <c r="F181" i="93"/>
  <c r="O180" i="93"/>
  <c r="K180" i="93"/>
  <c r="F180" i="93"/>
  <c r="O179" i="93"/>
  <c r="K179" i="93"/>
  <c r="F179" i="93"/>
  <c r="O178" i="93"/>
  <c r="K178" i="93"/>
  <c r="F178" i="93"/>
  <c r="O177" i="93"/>
  <c r="K177" i="93"/>
  <c r="F177" i="93"/>
  <c r="O176" i="93"/>
  <c r="K176" i="93"/>
  <c r="F176" i="93"/>
  <c r="O175" i="93"/>
  <c r="K175" i="93"/>
  <c r="F175" i="93"/>
  <c r="O174" i="93"/>
  <c r="K174" i="93"/>
  <c r="F174" i="93"/>
  <c r="O173" i="93"/>
  <c r="K173" i="93"/>
  <c r="F173" i="93"/>
  <c r="O172" i="93"/>
  <c r="K172" i="93"/>
  <c r="F172" i="93"/>
  <c r="O171" i="93"/>
  <c r="K171" i="93"/>
  <c r="F171" i="93"/>
  <c r="O170" i="93"/>
  <c r="K170" i="93"/>
  <c r="F170" i="93"/>
  <c r="O169" i="93"/>
  <c r="K169" i="93"/>
  <c r="F169" i="93"/>
  <c r="O168" i="93"/>
  <c r="K168" i="93"/>
  <c r="F168" i="93"/>
  <c r="O167" i="93"/>
  <c r="K167" i="93"/>
  <c r="F167" i="93"/>
  <c r="O166" i="93"/>
  <c r="K166" i="93"/>
  <c r="F166" i="93"/>
  <c r="O165" i="93"/>
  <c r="K165" i="93"/>
  <c r="F165" i="93"/>
  <c r="K164" i="93"/>
  <c r="F164" i="93"/>
  <c r="K163" i="93"/>
  <c r="F163" i="93"/>
  <c r="K162" i="93"/>
  <c r="F162" i="93"/>
  <c r="K161" i="93"/>
  <c r="F161" i="93"/>
  <c r="K160" i="93"/>
  <c r="F160" i="93"/>
  <c r="K159" i="93"/>
  <c r="F159" i="93"/>
  <c r="K158" i="93"/>
  <c r="F158" i="93"/>
  <c r="K157" i="93"/>
  <c r="F157" i="93"/>
  <c r="K156" i="93"/>
  <c r="F156" i="93"/>
  <c r="O155" i="93"/>
  <c r="K155" i="93"/>
  <c r="F155" i="93"/>
  <c r="O154" i="93"/>
  <c r="K154" i="93"/>
  <c r="F154" i="93"/>
  <c r="O153" i="93"/>
  <c r="K153" i="93"/>
  <c r="F153" i="93"/>
  <c r="O152" i="93"/>
  <c r="K152" i="93"/>
  <c r="F152" i="93"/>
  <c r="O151" i="93"/>
  <c r="K151" i="93"/>
  <c r="F151" i="93"/>
  <c r="O150" i="93"/>
  <c r="K150" i="93"/>
  <c r="F150" i="93"/>
  <c r="O149" i="93"/>
  <c r="K149" i="93"/>
  <c r="F149" i="93"/>
  <c r="O148" i="93"/>
  <c r="K148" i="93"/>
  <c r="F148" i="93"/>
  <c r="O147" i="93"/>
  <c r="K147" i="93"/>
  <c r="F147" i="93"/>
  <c r="O146" i="93"/>
  <c r="K146" i="93"/>
  <c r="F146" i="93"/>
  <c r="O145" i="93"/>
  <c r="K145" i="93"/>
  <c r="F145" i="93"/>
  <c r="K144" i="93"/>
  <c r="F144" i="93"/>
  <c r="K143" i="93"/>
  <c r="F143" i="93"/>
  <c r="K142" i="93"/>
  <c r="F142" i="93"/>
  <c r="K141" i="93"/>
  <c r="F141" i="93"/>
  <c r="K140" i="93"/>
  <c r="F140" i="93"/>
  <c r="O139" i="93"/>
  <c r="K139" i="93"/>
  <c r="F139" i="93"/>
  <c r="K138" i="93"/>
  <c r="F138" i="93"/>
  <c r="K137" i="93"/>
  <c r="F137" i="93"/>
  <c r="K136" i="93"/>
  <c r="F136" i="93"/>
  <c r="O135" i="93"/>
  <c r="K135" i="93"/>
  <c r="F135" i="93"/>
  <c r="O134" i="93"/>
  <c r="K134" i="93"/>
  <c r="F134" i="93"/>
  <c r="K133" i="93"/>
  <c r="F133" i="93"/>
  <c r="F132" i="93"/>
  <c r="O131" i="93"/>
  <c r="K131" i="93"/>
  <c r="F130" i="93"/>
  <c r="K126" i="93"/>
  <c r="F126" i="93"/>
  <c r="F118" i="93"/>
  <c r="F117" i="93"/>
  <c r="O116" i="93"/>
  <c r="K116" i="93"/>
  <c r="F116" i="93"/>
  <c r="F114" i="93"/>
  <c r="O113" i="93"/>
  <c r="K113" i="93"/>
  <c r="O111" i="93"/>
  <c r="F111" i="93"/>
  <c r="F110" i="93"/>
  <c r="N109" i="93"/>
  <c r="O109" i="93" s="1"/>
  <c r="K109" i="93"/>
  <c r="C109" i="93"/>
  <c r="F109" i="93" s="1"/>
  <c r="O108" i="93"/>
  <c r="I108" i="93"/>
  <c r="K108" i="93" s="1"/>
  <c r="F108" i="93"/>
  <c r="O107" i="93"/>
  <c r="K107" i="93"/>
  <c r="O104" i="93"/>
  <c r="N99" i="93"/>
  <c r="O99" i="93" s="1"/>
  <c r="K99" i="93"/>
  <c r="C99" i="93"/>
  <c r="B99" i="93"/>
  <c r="O98" i="93"/>
  <c r="O97" i="93"/>
  <c r="B97" i="93"/>
  <c r="O96" i="93"/>
  <c r="H96" i="93"/>
  <c r="F96" i="93"/>
  <c r="O95" i="93"/>
  <c r="B95" i="93"/>
  <c r="O94" i="93"/>
  <c r="K94" i="93"/>
  <c r="D94" i="93"/>
  <c r="V94" i="93" s="1"/>
  <c r="B94" i="93"/>
  <c r="O93" i="93"/>
  <c r="K93" i="93"/>
  <c r="F93" i="93"/>
  <c r="O92" i="93"/>
  <c r="F92" i="93"/>
  <c r="J91" i="93"/>
  <c r="J90" i="93" s="1"/>
  <c r="H91" i="93"/>
  <c r="H90" i="93" s="1"/>
  <c r="E91" i="93"/>
  <c r="D91" i="93"/>
  <c r="V91" i="93" s="1"/>
  <c r="C91" i="93"/>
  <c r="O90" i="93"/>
  <c r="B90" i="93"/>
  <c r="F90" i="93" s="1"/>
  <c r="O89" i="93"/>
  <c r="K89" i="93"/>
  <c r="F89" i="93"/>
  <c r="Q89" i="93" s="1"/>
  <c r="O87" i="93"/>
  <c r="F87" i="93"/>
  <c r="O86" i="93"/>
  <c r="O85" i="93" s="1"/>
  <c r="K86" i="93"/>
  <c r="F86" i="93"/>
  <c r="N85" i="93"/>
  <c r="I85" i="93"/>
  <c r="K85" i="93" s="1"/>
  <c r="F85" i="93"/>
  <c r="I84" i="93"/>
  <c r="K84" i="93" s="1"/>
  <c r="F84" i="93"/>
  <c r="O83" i="93"/>
  <c r="I83" i="93"/>
  <c r="K83" i="93" s="1"/>
  <c r="F83" i="93"/>
  <c r="O82" i="93"/>
  <c r="K82" i="93"/>
  <c r="F82" i="93"/>
  <c r="O81" i="93"/>
  <c r="J81" i="93"/>
  <c r="K81" i="93" s="1"/>
  <c r="F81" i="93"/>
  <c r="O80" i="93"/>
  <c r="K80" i="93"/>
  <c r="F80" i="93"/>
  <c r="O79" i="93"/>
  <c r="K79" i="93"/>
  <c r="F79" i="93"/>
  <c r="O78" i="93"/>
  <c r="K78" i="93"/>
  <c r="F78" i="93"/>
  <c r="Q78" i="93" s="1"/>
  <c r="O77" i="93"/>
  <c r="K77" i="93"/>
  <c r="F77" i="93"/>
  <c r="O76" i="93"/>
  <c r="F76" i="93"/>
  <c r="O75" i="93"/>
  <c r="F75" i="93"/>
  <c r="O74" i="93"/>
  <c r="F74" i="93"/>
  <c r="O73" i="93"/>
  <c r="F73" i="93"/>
  <c r="Q73" i="93" s="1"/>
  <c r="R73" i="93" s="1"/>
  <c r="U73" i="93" s="1"/>
  <c r="O72" i="93"/>
  <c r="H72" i="93"/>
  <c r="F72" i="93"/>
  <c r="O71" i="93"/>
  <c r="J71" i="93"/>
  <c r="J72" i="93" s="1"/>
  <c r="J73" i="93" s="1"/>
  <c r="I71" i="93"/>
  <c r="F71" i="93"/>
  <c r="O70" i="93"/>
  <c r="K70" i="93"/>
  <c r="F70" i="93"/>
  <c r="O61" i="93"/>
  <c r="K61" i="93"/>
  <c r="F61" i="93"/>
  <c r="O56" i="93"/>
  <c r="O51" i="93"/>
  <c r="K51" i="93"/>
  <c r="F51" i="93"/>
  <c r="K49" i="93"/>
  <c r="O48" i="93"/>
  <c r="H48" i="93"/>
  <c r="K48" i="93" s="1"/>
  <c r="F48" i="93"/>
  <c r="O47" i="93"/>
  <c r="K47" i="93"/>
  <c r="F47" i="93"/>
  <c r="O46" i="93"/>
  <c r="H46" i="93"/>
  <c r="K46" i="93" s="1"/>
  <c r="F46" i="93"/>
  <c r="O29" i="93"/>
  <c r="K29" i="93"/>
  <c r="F29" i="93"/>
  <c r="O23" i="93"/>
  <c r="O22" i="93"/>
  <c r="O21" i="93"/>
  <c r="N19" i="93"/>
  <c r="O19" i="93" s="1"/>
  <c r="J19" i="93"/>
  <c r="K19" i="93" s="1"/>
  <c r="F19" i="93"/>
  <c r="B16" i="93"/>
  <c r="O15" i="93"/>
  <c r="J15" i="93"/>
  <c r="K15" i="93" s="1"/>
  <c r="F15" i="93"/>
  <c r="O14" i="93"/>
  <c r="O13" i="93"/>
  <c r="L148" i="89"/>
  <c r="J148" i="89"/>
  <c r="F148" i="89"/>
  <c r="L147" i="89"/>
  <c r="J147" i="89"/>
  <c r="F147" i="89"/>
  <c r="L146" i="89"/>
  <c r="J146" i="89"/>
  <c r="F146" i="89"/>
  <c r="L145" i="89"/>
  <c r="J145" i="89"/>
  <c r="F145" i="89"/>
  <c r="L144" i="89"/>
  <c r="J144" i="89"/>
  <c r="F144" i="89"/>
  <c r="L143" i="89"/>
  <c r="J143" i="89"/>
  <c r="F143" i="89"/>
  <c r="L142" i="89"/>
  <c r="J142" i="89"/>
  <c r="F142" i="89"/>
  <c r="L141" i="89"/>
  <c r="J141" i="89"/>
  <c r="F141" i="89"/>
  <c r="L140" i="89"/>
  <c r="J140" i="89"/>
  <c r="F140" i="89"/>
  <c r="L139" i="89"/>
  <c r="J139" i="89"/>
  <c r="F139" i="89"/>
  <c r="L138" i="89"/>
  <c r="J138" i="89"/>
  <c r="F138" i="89"/>
  <c r="J137" i="89"/>
  <c r="F137" i="89"/>
  <c r="J136" i="89"/>
  <c r="F136" i="89"/>
  <c r="J135" i="89"/>
  <c r="F135" i="89"/>
  <c r="J134" i="89"/>
  <c r="F134" i="89"/>
  <c r="J133" i="89"/>
  <c r="F133" i="89"/>
  <c r="L132" i="89"/>
  <c r="J132" i="89"/>
  <c r="F132" i="89"/>
  <c r="J131" i="89"/>
  <c r="F131" i="89"/>
  <c r="J130" i="89"/>
  <c r="F130" i="89"/>
  <c r="J129" i="89"/>
  <c r="F129" i="89"/>
  <c r="L128" i="89"/>
  <c r="J128" i="89"/>
  <c r="F128" i="89"/>
  <c r="L127" i="89"/>
  <c r="J127" i="89"/>
  <c r="F127" i="89"/>
  <c r="J126" i="89"/>
  <c r="F126" i="89"/>
  <c r="F125" i="89"/>
  <c r="L124" i="89"/>
  <c r="J124" i="89"/>
  <c r="F123" i="89"/>
  <c r="J119" i="89"/>
  <c r="F119" i="89"/>
  <c r="F111" i="89"/>
  <c r="F110" i="89"/>
  <c r="L109" i="89"/>
  <c r="J109" i="89"/>
  <c r="F109" i="89"/>
  <c r="F107" i="89"/>
  <c r="L106" i="89"/>
  <c r="J106" i="89"/>
  <c r="L104" i="89"/>
  <c r="F104" i="89"/>
  <c r="F103" i="89"/>
  <c r="L102" i="89"/>
  <c r="J102" i="89"/>
  <c r="F102" i="89"/>
  <c r="K101" i="89"/>
  <c r="L101" i="89" s="1"/>
  <c r="J101" i="89"/>
  <c r="C101" i="89"/>
  <c r="F101" i="89" s="1"/>
  <c r="L100" i="89"/>
  <c r="H100" i="89"/>
  <c r="J100" i="89" s="1"/>
  <c r="F100" i="89"/>
  <c r="L99" i="89"/>
  <c r="J99" i="89"/>
  <c r="L96" i="89"/>
  <c r="K91" i="89"/>
  <c r="L91" i="89" s="1"/>
  <c r="J91" i="89"/>
  <c r="C91" i="89"/>
  <c r="B91" i="89"/>
  <c r="F91" i="89" s="1"/>
  <c r="L90" i="89"/>
  <c r="L89" i="89"/>
  <c r="B89" i="89"/>
  <c r="L88" i="89"/>
  <c r="G88" i="89"/>
  <c r="F88" i="89"/>
  <c r="L87" i="89"/>
  <c r="B87" i="89"/>
  <c r="L86" i="89"/>
  <c r="J86" i="89"/>
  <c r="D86" i="89"/>
  <c r="B86" i="89"/>
  <c r="F86" i="89" s="1"/>
  <c r="L85" i="89"/>
  <c r="J85" i="89"/>
  <c r="F85" i="89"/>
  <c r="L84" i="89"/>
  <c r="F84" i="89"/>
  <c r="I83" i="89"/>
  <c r="I82" i="89" s="1"/>
  <c r="G83" i="89"/>
  <c r="G82" i="89" s="1"/>
  <c r="J82" i="89" s="1"/>
  <c r="E83" i="89"/>
  <c r="D83" i="89"/>
  <c r="C83" i="89"/>
  <c r="L82" i="89"/>
  <c r="B82" i="89"/>
  <c r="B83" i="89" s="1"/>
  <c r="L81" i="89"/>
  <c r="J81" i="89"/>
  <c r="F81" i="89"/>
  <c r="L79" i="89"/>
  <c r="F79" i="89"/>
  <c r="L78" i="89"/>
  <c r="L77" i="89" s="1"/>
  <c r="J78" i="89"/>
  <c r="F78" i="89"/>
  <c r="K77" i="89"/>
  <c r="H77" i="89"/>
  <c r="J77" i="89" s="1"/>
  <c r="F77" i="89"/>
  <c r="H76" i="89"/>
  <c r="J76" i="89" s="1"/>
  <c r="F76" i="89"/>
  <c r="L75" i="89"/>
  <c r="H75" i="89"/>
  <c r="J75" i="89" s="1"/>
  <c r="F75" i="89"/>
  <c r="L74" i="89"/>
  <c r="J74" i="89"/>
  <c r="F74" i="89"/>
  <c r="L73" i="89"/>
  <c r="I73" i="89"/>
  <c r="J73" i="89" s="1"/>
  <c r="F73" i="89"/>
  <c r="L72" i="89"/>
  <c r="J72" i="89"/>
  <c r="F72" i="89"/>
  <c r="L71" i="89"/>
  <c r="J71" i="89"/>
  <c r="F71" i="89"/>
  <c r="L70" i="89"/>
  <c r="J70" i="89"/>
  <c r="F70" i="89"/>
  <c r="L69" i="89"/>
  <c r="J69" i="89"/>
  <c r="F69" i="89"/>
  <c r="L68" i="89"/>
  <c r="F68" i="89"/>
  <c r="L67" i="89"/>
  <c r="F67" i="89"/>
  <c r="L66" i="89"/>
  <c r="F66" i="89"/>
  <c r="L65" i="89"/>
  <c r="F65" i="89"/>
  <c r="L64" i="89"/>
  <c r="G64" i="89"/>
  <c r="F64" i="89"/>
  <c r="L63" i="89"/>
  <c r="I63" i="89"/>
  <c r="I64" i="89" s="1"/>
  <c r="I65" i="89" s="1"/>
  <c r="H63" i="89"/>
  <c r="J63" i="89" s="1"/>
  <c r="F63" i="89"/>
  <c r="L62" i="89"/>
  <c r="J62" i="89"/>
  <c r="F62" i="89"/>
  <c r="L53" i="89"/>
  <c r="J53" i="89"/>
  <c r="F53" i="89"/>
  <c r="L48" i="89"/>
  <c r="L43" i="89"/>
  <c r="J43" i="89"/>
  <c r="F43" i="89"/>
  <c r="J41" i="89"/>
  <c r="L40" i="89"/>
  <c r="G40" i="89"/>
  <c r="J40" i="89" s="1"/>
  <c r="F40" i="89"/>
  <c r="L39" i="89"/>
  <c r="J39" i="89"/>
  <c r="F39" i="89"/>
  <c r="L38" i="89"/>
  <c r="G38" i="89"/>
  <c r="J38" i="89" s="1"/>
  <c r="F38" i="89"/>
  <c r="L21" i="89"/>
  <c r="J21" i="89"/>
  <c r="F21" i="89"/>
  <c r="L15" i="89"/>
  <c r="L14" i="89"/>
  <c r="L13" i="89"/>
  <c r="K11" i="89"/>
  <c r="L11" i="89" s="1"/>
  <c r="I11" i="89"/>
  <c r="J11" i="89" s="1"/>
  <c r="F11" i="89"/>
  <c r="B8" i="89"/>
  <c r="L7" i="89"/>
  <c r="I7" i="89"/>
  <c r="J7" i="89" s="1"/>
  <c r="F7" i="89"/>
  <c r="L6" i="89"/>
  <c r="L5" i="89"/>
  <c r="Y27" i="76"/>
  <c r="H102" i="85"/>
  <c r="G102" i="85"/>
  <c r="H93" i="85"/>
  <c r="G93" i="85"/>
  <c r="Q86" i="93" l="1"/>
  <c r="Q167" i="93"/>
  <c r="Q190" i="93"/>
  <c r="Q116" i="93"/>
  <c r="R116" i="93" s="1"/>
  <c r="U116" i="93" s="1"/>
  <c r="M29" i="93"/>
  <c r="K71" i="93"/>
  <c r="Q71" i="93" s="1"/>
  <c r="R71" i="93" s="1"/>
  <c r="U71" i="93" s="1"/>
  <c r="F94" i="93"/>
  <c r="F99" i="93"/>
  <c r="Q99" i="93" s="1"/>
  <c r="R99" i="93" s="1"/>
  <c r="U99" i="93" s="1"/>
  <c r="Q177" i="93"/>
  <c r="R177" i="93" s="1"/>
  <c r="U177" i="93" s="1"/>
  <c r="Q189" i="93"/>
  <c r="R189" i="93" s="1"/>
  <c r="U189" i="93" s="1"/>
  <c r="Q187" i="93"/>
  <c r="R187" i="93" s="1"/>
  <c r="U187" i="93" s="1"/>
  <c r="Q94" i="93"/>
  <c r="R94" i="93" s="1"/>
  <c r="U94" i="93" s="1"/>
  <c r="Q168" i="93"/>
  <c r="R168" i="93" s="1"/>
  <c r="Q188" i="93"/>
  <c r="M46" i="93"/>
  <c r="Q173" i="93"/>
  <c r="R173" i="93" s="1"/>
  <c r="M79" i="93"/>
  <c r="Q182" i="93"/>
  <c r="R182" i="93" s="1"/>
  <c r="U182" i="93" s="1"/>
  <c r="R89" i="93"/>
  <c r="U89" i="93" s="1"/>
  <c r="K72" i="93"/>
  <c r="Q72" i="93" s="1"/>
  <c r="R72" i="93" s="1"/>
  <c r="U72" i="93" s="1"/>
  <c r="O91" i="93"/>
  <c r="R78" i="93"/>
  <c r="U78" i="93" s="1"/>
  <c r="Q82" i="93"/>
  <c r="R82" i="93" s="1"/>
  <c r="U82" i="93" s="1"/>
  <c r="R86" i="93"/>
  <c r="U86" i="93" s="1"/>
  <c r="Q61" i="93"/>
  <c r="R61" i="93" s="1"/>
  <c r="Q191" i="93"/>
  <c r="R191" i="93" s="1"/>
  <c r="U191" i="93" s="1"/>
  <c r="Q178" i="93"/>
  <c r="R178" i="93" s="1"/>
  <c r="U178" i="93" s="1"/>
  <c r="Q181" i="93"/>
  <c r="R181" i="93" s="1"/>
  <c r="U181" i="93" s="1"/>
  <c r="Q171" i="93"/>
  <c r="R171" i="93" s="1"/>
  <c r="M70" i="93"/>
  <c r="Q179" i="93"/>
  <c r="R179" i="93" s="1"/>
  <c r="U179" i="93" s="1"/>
  <c r="Q79" i="93"/>
  <c r="R79" i="93" s="1"/>
  <c r="G79" i="93" s="1"/>
  <c r="Q184" i="93"/>
  <c r="R184" i="93" s="1"/>
  <c r="U184" i="93" s="1"/>
  <c r="Q148" i="93"/>
  <c r="R148" i="93" s="1"/>
  <c r="U148" i="93" s="1"/>
  <c r="Q185" i="93"/>
  <c r="R185" i="93" s="1"/>
  <c r="U185" i="93" s="1"/>
  <c r="Q51" i="93"/>
  <c r="R51" i="93" s="1"/>
  <c r="Q70" i="93"/>
  <c r="R70" i="93" s="1"/>
  <c r="L70" i="93" s="1"/>
  <c r="K90" i="93"/>
  <c r="Q90" i="93" s="1"/>
  <c r="Q154" i="93"/>
  <c r="R154" i="93" s="1"/>
  <c r="U154" i="93" s="1"/>
  <c r="Q193" i="93"/>
  <c r="R193" i="93" s="1"/>
  <c r="U193" i="93" s="1"/>
  <c r="Q183" i="93"/>
  <c r="R183" i="93" s="1"/>
  <c r="U183" i="93" s="1"/>
  <c r="Q19" i="93"/>
  <c r="R19" i="93" s="1"/>
  <c r="U19" i="93" s="1"/>
  <c r="Q85" i="93"/>
  <c r="R85" i="93"/>
  <c r="M85" i="93"/>
  <c r="M48" i="93"/>
  <c r="Q48" i="93"/>
  <c r="R48" i="93" s="1"/>
  <c r="Q83" i="93"/>
  <c r="R83" i="93" s="1"/>
  <c r="U83" i="93" s="1"/>
  <c r="Q165" i="93"/>
  <c r="R165" i="93" s="1"/>
  <c r="Q81" i="93"/>
  <c r="R81" i="93" s="1"/>
  <c r="M83" i="93"/>
  <c r="Q146" i="93"/>
  <c r="R146" i="93" s="1"/>
  <c r="U146" i="93" s="1"/>
  <c r="Q152" i="93"/>
  <c r="R152" i="93" s="1"/>
  <c r="U152" i="93" s="1"/>
  <c r="Q109" i="93"/>
  <c r="R109" i="93" s="1"/>
  <c r="U109" i="93" s="1"/>
  <c r="Q166" i="93"/>
  <c r="R166" i="93" s="1"/>
  <c r="Q93" i="93"/>
  <c r="R93" i="93" s="1"/>
  <c r="Q15" i="93"/>
  <c r="R15" i="93" s="1"/>
  <c r="U15" i="93" s="1"/>
  <c r="Q84" i="93"/>
  <c r="R84" i="93" s="1"/>
  <c r="M84" i="93"/>
  <c r="M89" i="93"/>
  <c r="Q170" i="93"/>
  <c r="R170" i="93"/>
  <c r="Q150" i="93"/>
  <c r="R150" i="93" s="1"/>
  <c r="U150" i="93" s="1"/>
  <c r="M51" i="93"/>
  <c r="M86" i="93"/>
  <c r="Q174" i="93"/>
  <c r="R174" i="93" s="1"/>
  <c r="Q186" i="93"/>
  <c r="R186" i="93" s="1"/>
  <c r="U186" i="93" s="1"/>
  <c r="Q192" i="93"/>
  <c r="R192" i="93" s="1"/>
  <c r="U192" i="93" s="1"/>
  <c r="Q169" i="93"/>
  <c r="R169" i="93" s="1"/>
  <c r="Q47" i="93"/>
  <c r="R47" i="93" s="1"/>
  <c r="M47" i="93"/>
  <c r="M61" i="93"/>
  <c r="Q149" i="93"/>
  <c r="R149" i="93" s="1"/>
  <c r="U149" i="93" s="1"/>
  <c r="Q155" i="93"/>
  <c r="R155" i="93" s="1"/>
  <c r="U155" i="93" s="1"/>
  <c r="R188" i="93"/>
  <c r="U188" i="93" s="1"/>
  <c r="M80" i="93"/>
  <c r="Q176" i="93"/>
  <c r="R176" i="93" s="1"/>
  <c r="U176" i="93" s="1"/>
  <c r="Q134" i="93"/>
  <c r="R134" i="93" s="1"/>
  <c r="U134" i="93" s="1"/>
  <c r="Q147" i="93"/>
  <c r="R147" i="93" s="1"/>
  <c r="U147" i="93" s="1"/>
  <c r="Q153" i="93"/>
  <c r="R153" i="93" s="1"/>
  <c r="U153" i="93" s="1"/>
  <c r="Q29" i="93"/>
  <c r="R29" i="93" s="1"/>
  <c r="U29" i="93" s="1"/>
  <c r="M78" i="93"/>
  <c r="K91" i="93"/>
  <c r="Q139" i="93"/>
  <c r="R139" i="93" s="1"/>
  <c r="U139" i="93" s="1"/>
  <c r="Q80" i="93"/>
  <c r="R80" i="93" s="1"/>
  <c r="U80" i="93" s="1"/>
  <c r="Q108" i="93"/>
  <c r="R108" i="93" s="1"/>
  <c r="U108" i="93" s="1"/>
  <c r="R167" i="93"/>
  <c r="Q180" i="93"/>
  <c r="R180" i="93" s="1"/>
  <c r="U180" i="93" s="1"/>
  <c r="Q77" i="93"/>
  <c r="R77" i="93" s="1"/>
  <c r="M77" i="93"/>
  <c r="M81" i="93"/>
  <c r="Q135" i="93"/>
  <c r="R135" i="93" s="1"/>
  <c r="U135" i="93" s="1"/>
  <c r="Q145" i="93"/>
  <c r="R145" i="93"/>
  <c r="U145" i="93" s="1"/>
  <c r="Q151" i="93"/>
  <c r="R151" i="93" s="1"/>
  <c r="U151" i="93" s="1"/>
  <c r="R190" i="93"/>
  <c r="U190" i="93" s="1"/>
  <c r="B91" i="93"/>
  <c r="F91" i="93" s="1"/>
  <c r="Q172" i="93"/>
  <c r="R172" i="93" s="1"/>
  <c r="M82" i="93"/>
  <c r="Q76" i="93"/>
  <c r="R76" i="93" s="1"/>
  <c r="U76" i="93" s="1"/>
  <c r="Q175" i="93"/>
  <c r="R175" i="93" s="1"/>
  <c r="Q46" i="93"/>
  <c r="R46" i="93" s="1"/>
  <c r="U46" i="93" s="1"/>
  <c r="M85" i="89"/>
  <c r="M43" i="89"/>
  <c r="N43" i="89" s="1"/>
  <c r="J64" i="89"/>
  <c r="M64" i="89" s="1"/>
  <c r="N64" i="89" s="1"/>
  <c r="M144" i="89"/>
  <c r="N144" i="89" s="1"/>
  <c r="L83" i="89"/>
  <c r="M148" i="89"/>
  <c r="N148" i="89" s="1"/>
  <c r="M138" i="89"/>
  <c r="N138" i="89" s="1"/>
  <c r="M74" i="89"/>
  <c r="N74" i="89" s="1"/>
  <c r="M21" i="89"/>
  <c r="N21" i="89" s="1"/>
  <c r="M142" i="89"/>
  <c r="N142" i="89" s="1"/>
  <c r="M140" i="89"/>
  <c r="N140" i="89" s="1"/>
  <c r="M145" i="89"/>
  <c r="N145" i="89" s="1"/>
  <c r="M146" i="89"/>
  <c r="N146" i="89" s="1"/>
  <c r="F83" i="89"/>
  <c r="M141" i="89"/>
  <c r="N141" i="89" s="1"/>
  <c r="M63" i="89"/>
  <c r="N63" i="89" s="1"/>
  <c r="M91" i="89"/>
  <c r="N91" i="89" s="1"/>
  <c r="M78" i="89"/>
  <c r="N78" i="89" s="1"/>
  <c r="M127" i="89"/>
  <c r="N127" i="89" s="1"/>
  <c r="M72" i="89"/>
  <c r="N72" i="89" s="1"/>
  <c r="M65" i="89"/>
  <c r="N65" i="89" s="1"/>
  <c r="M77" i="89"/>
  <c r="N77" i="89" s="1"/>
  <c r="M11" i="89"/>
  <c r="N11" i="89" s="1"/>
  <c r="M143" i="89"/>
  <c r="N143" i="89" s="1"/>
  <c r="M38" i="89"/>
  <c r="N38" i="89" s="1"/>
  <c r="M68" i="89"/>
  <c r="N68" i="89" s="1"/>
  <c r="M76" i="89"/>
  <c r="N76" i="89" s="1"/>
  <c r="J83" i="89"/>
  <c r="M100" i="89"/>
  <c r="N100" i="89" s="1"/>
  <c r="M132" i="89"/>
  <c r="N132" i="89" s="1"/>
  <c r="M71" i="89"/>
  <c r="N71" i="89" s="1"/>
  <c r="F82" i="89"/>
  <c r="M69" i="89"/>
  <c r="N69" i="89" s="1"/>
  <c r="M128" i="89"/>
  <c r="N128" i="89" s="1"/>
  <c r="N85" i="89"/>
  <c r="M86" i="89"/>
  <c r="N86" i="89" s="1"/>
  <c r="M7" i="89"/>
  <c r="N7" i="89" s="1"/>
  <c r="M39" i="89"/>
  <c r="N39" i="89" s="1"/>
  <c r="M81" i="89"/>
  <c r="N81" i="89" s="1"/>
  <c r="M40" i="89"/>
  <c r="N40" i="89" s="1"/>
  <c r="M70" i="89"/>
  <c r="N70" i="89" s="1"/>
  <c r="M73" i="89"/>
  <c r="N73" i="89" s="1"/>
  <c r="M101" i="89"/>
  <c r="N101" i="89" s="1"/>
  <c r="M53" i="89"/>
  <c r="N53" i="89" s="1"/>
  <c r="M62" i="89"/>
  <c r="N62" i="89" s="1"/>
  <c r="M75" i="89"/>
  <c r="N75" i="89" s="1"/>
  <c r="M139" i="89"/>
  <c r="N139" i="89" s="1"/>
  <c r="M147" i="89"/>
  <c r="N147" i="89" s="1"/>
  <c r="M102" i="89"/>
  <c r="N102" i="89" s="1"/>
  <c r="M109" i="89"/>
  <c r="N109" i="89" s="1"/>
  <c r="L85" i="84"/>
  <c r="L76" i="84"/>
  <c r="L70" i="84"/>
  <c r="L68" i="84"/>
  <c r="L66" i="84"/>
  <c r="L64" i="84"/>
  <c r="L59" i="84"/>
  <c r="L58" i="84"/>
  <c r="L57" i="84"/>
  <c r="L56" i="84"/>
  <c r="L47" i="84"/>
  <c r="L37" i="84"/>
  <c r="L32" i="84"/>
  <c r="L21" i="84"/>
  <c r="L12" i="84"/>
  <c r="K85" i="84"/>
  <c r="K80" i="84"/>
  <c r="K79" i="84"/>
  <c r="K76" i="84"/>
  <c r="K70" i="84"/>
  <c r="K68" i="84"/>
  <c r="K67" i="84"/>
  <c r="K66" i="84"/>
  <c r="K65" i="84"/>
  <c r="K64" i="84"/>
  <c r="K59" i="84"/>
  <c r="K47" i="84"/>
  <c r="K37" i="84"/>
  <c r="K6" i="84"/>
  <c r="K5" i="75"/>
  <c r="H70" i="73"/>
  <c r="H68" i="73"/>
  <c r="H66" i="73"/>
  <c r="H13" i="73"/>
  <c r="H142" i="73"/>
  <c r="H141" i="73"/>
  <c r="H140" i="73"/>
  <c r="H139" i="73"/>
  <c r="H138" i="73"/>
  <c r="H134" i="73"/>
  <c r="H133" i="73"/>
  <c r="H132" i="73"/>
  <c r="H126" i="73"/>
  <c r="H122" i="73"/>
  <c r="H121" i="73"/>
  <c r="H86" i="73"/>
  <c r="H77" i="73"/>
  <c r="H71" i="73"/>
  <c r="H69" i="73"/>
  <c r="H67" i="73"/>
  <c r="H65" i="73"/>
  <c r="H60" i="73"/>
  <c r="H59" i="73"/>
  <c r="H58" i="73"/>
  <c r="H57" i="73"/>
  <c r="H48" i="73"/>
  <c r="H38" i="73"/>
  <c r="H33" i="73"/>
  <c r="H22" i="73"/>
  <c r="G126" i="73"/>
  <c r="G134" i="73"/>
  <c r="G133" i="73"/>
  <c r="G132" i="73"/>
  <c r="G142" i="73"/>
  <c r="G141" i="73"/>
  <c r="G140" i="73"/>
  <c r="G139" i="73"/>
  <c r="G138" i="73"/>
  <c r="G122" i="73"/>
  <c r="G121" i="73"/>
  <c r="G86" i="73"/>
  <c r="G81" i="73"/>
  <c r="G80" i="73"/>
  <c r="G77" i="73"/>
  <c r="G71" i="73"/>
  <c r="G69" i="73"/>
  <c r="G68" i="73"/>
  <c r="G67" i="73"/>
  <c r="G66" i="73"/>
  <c r="G65" i="73"/>
  <c r="G60" i="73"/>
  <c r="G48" i="73"/>
  <c r="G38" i="73"/>
  <c r="G7" i="73"/>
  <c r="F6" i="67"/>
  <c r="R113" i="81"/>
  <c r="R112" i="81"/>
  <c r="R111" i="81"/>
  <c r="R110" i="81"/>
  <c r="R109" i="81"/>
  <c r="R107" i="81"/>
  <c r="R106" i="81"/>
  <c r="R105" i="81"/>
  <c r="R104" i="81"/>
  <c r="R102" i="81"/>
  <c r="R101" i="81"/>
  <c r="R100" i="81"/>
  <c r="R99" i="81"/>
  <c r="R98" i="81"/>
  <c r="R97" i="81"/>
  <c r="R96" i="81"/>
  <c r="R95" i="81"/>
  <c r="R94" i="81"/>
  <c r="R93" i="81"/>
  <c r="R92" i="81"/>
  <c r="R91" i="81"/>
  <c r="R90" i="81"/>
  <c r="R89" i="81"/>
  <c r="R88" i="81"/>
  <c r="R87" i="81"/>
  <c r="R86" i="81"/>
  <c r="R85" i="81"/>
  <c r="R83" i="81"/>
  <c r="R80" i="81"/>
  <c r="R78" i="81"/>
  <c r="R73" i="81"/>
  <c r="R72" i="81"/>
  <c r="Q6" i="81"/>
  <c r="I121" i="67"/>
  <c r="H121" i="67"/>
  <c r="G121" i="67"/>
  <c r="F121" i="67"/>
  <c r="E121" i="67"/>
  <c r="E120" i="67"/>
  <c r="H120" i="67" s="1"/>
  <c r="E119" i="67"/>
  <c r="I119" i="67" s="1"/>
  <c r="I118" i="67"/>
  <c r="E118" i="67"/>
  <c r="H118" i="67" s="1"/>
  <c r="E114" i="67"/>
  <c r="H114" i="67" s="1"/>
  <c r="I113" i="67"/>
  <c r="H113" i="67"/>
  <c r="G113" i="67"/>
  <c r="F113" i="67"/>
  <c r="E113" i="67"/>
  <c r="E112" i="67"/>
  <c r="I112" i="67" s="1"/>
  <c r="E106" i="67"/>
  <c r="I106" i="67" s="1"/>
  <c r="E102" i="67"/>
  <c r="I102" i="67" s="1"/>
  <c r="H101" i="67"/>
  <c r="G101" i="67"/>
  <c r="F101" i="67"/>
  <c r="E101" i="67"/>
  <c r="I101" i="67" s="1"/>
  <c r="E66" i="67"/>
  <c r="I66" i="67" s="1"/>
  <c r="E61" i="67"/>
  <c r="I61" i="67" s="1"/>
  <c r="I60" i="67"/>
  <c r="G60" i="67"/>
  <c r="E60" i="67"/>
  <c r="H57" i="67"/>
  <c r="G57" i="67"/>
  <c r="F57" i="67"/>
  <c r="E57" i="67"/>
  <c r="I57" i="67" s="1"/>
  <c r="H56" i="67"/>
  <c r="E56" i="67"/>
  <c r="O121" i="81"/>
  <c r="O120" i="81"/>
  <c r="O119" i="81"/>
  <c r="O118" i="81"/>
  <c r="O117" i="81"/>
  <c r="Y120" i="81"/>
  <c r="Y119" i="81"/>
  <c r="Y118" i="81"/>
  <c r="Y117" i="81"/>
  <c r="Y113" i="81"/>
  <c r="Y112" i="81"/>
  <c r="Y111" i="81"/>
  <c r="Y110" i="81"/>
  <c r="Y109" i="81"/>
  <c r="Y107" i="81"/>
  <c r="Y106" i="81"/>
  <c r="Y105" i="81"/>
  <c r="Y104" i="81"/>
  <c r="Y102" i="81"/>
  <c r="Y101" i="81"/>
  <c r="Y100" i="81"/>
  <c r="Y99" i="81"/>
  <c r="Y98" i="81"/>
  <c r="Y97" i="81"/>
  <c r="Y96" i="81"/>
  <c r="Y95" i="81"/>
  <c r="Y94" i="81"/>
  <c r="Y93" i="81"/>
  <c r="Y92" i="81"/>
  <c r="Y91" i="81"/>
  <c r="Y90" i="81"/>
  <c r="Y89" i="81"/>
  <c r="Y88" i="81"/>
  <c r="Y87" i="81"/>
  <c r="Y86" i="81"/>
  <c r="Y85" i="81"/>
  <c r="Y84" i="81"/>
  <c r="Y83" i="81"/>
  <c r="Y82" i="81"/>
  <c r="Y81" i="81"/>
  <c r="Y80" i="81"/>
  <c r="Y79" i="81"/>
  <c r="Y78" i="81"/>
  <c r="Y77" i="81"/>
  <c r="Y76" i="81"/>
  <c r="Y75" i="81"/>
  <c r="Y74" i="81"/>
  <c r="Y73" i="81"/>
  <c r="Y72" i="81"/>
  <c r="O113" i="81"/>
  <c r="O112" i="81"/>
  <c r="O111" i="81"/>
  <c r="O110" i="81"/>
  <c r="O109" i="81"/>
  <c r="O107" i="81"/>
  <c r="O106" i="81"/>
  <c r="O105" i="81"/>
  <c r="O104" i="81"/>
  <c r="O102" i="81"/>
  <c r="O101" i="81"/>
  <c r="O100" i="81"/>
  <c r="O99" i="81"/>
  <c r="O98" i="81"/>
  <c r="O97" i="81"/>
  <c r="O96" i="81"/>
  <c r="O95" i="81"/>
  <c r="O94" i="81"/>
  <c r="O93" i="81"/>
  <c r="O92" i="81"/>
  <c r="O91" i="81"/>
  <c r="O90" i="81"/>
  <c r="O89" i="81"/>
  <c r="O88" i="81"/>
  <c r="O87" i="81"/>
  <c r="O86" i="81"/>
  <c r="O85" i="81"/>
  <c r="O83" i="81"/>
  <c r="O80" i="81"/>
  <c r="O78" i="81"/>
  <c r="O73" i="81"/>
  <c r="O72" i="81"/>
  <c r="O67" i="81"/>
  <c r="O62" i="81"/>
  <c r="O58" i="81"/>
  <c r="F98" i="83"/>
  <c r="R99" i="83"/>
  <c r="Q99" i="83"/>
  <c r="O99" i="83"/>
  <c r="N99" i="83"/>
  <c r="O100" i="83"/>
  <c r="O98" i="83"/>
  <c r="Q100" i="83"/>
  <c r="R100" i="83" s="1"/>
  <c r="K100" i="83"/>
  <c r="U185" i="83"/>
  <c r="U184" i="83"/>
  <c r="U183" i="83"/>
  <c r="U182" i="83"/>
  <c r="U181" i="83"/>
  <c r="U180" i="83"/>
  <c r="U179" i="83"/>
  <c r="U178" i="83"/>
  <c r="U177" i="83"/>
  <c r="U176" i="83"/>
  <c r="U175" i="83"/>
  <c r="U174" i="83"/>
  <c r="U173" i="83"/>
  <c r="U172" i="83"/>
  <c r="U171" i="83"/>
  <c r="U170" i="83"/>
  <c r="U169" i="83"/>
  <c r="U168" i="83"/>
  <c r="U167" i="83"/>
  <c r="I98" i="83"/>
  <c r="K98" i="83" s="1"/>
  <c r="F100" i="83"/>
  <c r="C99" i="83"/>
  <c r="F99" i="83" s="1"/>
  <c r="O186" i="83"/>
  <c r="O185" i="83"/>
  <c r="O184" i="83"/>
  <c r="O183" i="83"/>
  <c r="O182" i="83"/>
  <c r="O181" i="83"/>
  <c r="O180" i="83"/>
  <c r="O179" i="83"/>
  <c r="O178" i="83"/>
  <c r="O177" i="83"/>
  <c r="O176" i="83"/>
  <c r="O175" i="83"/>
  <c r="O174" i="83"/>
  <c r="O173" i="83"/>
  <c r="O172" i="83"/>
  <c r="O171" i="83"/>
  <c r="O170" i="83"/>
  <c r="O169" i="83"/>
  <c r="O168" i="83"/>
  <c r="O167" i="83"/>
  <c r="O166" i="83"/>
  <c r="O165" i="83"/>
  <c r="O164" i="83"/>
  <c r="O163" i="83"/>
  <c r="O162" i="83"/>
  <c r="O161" i="83"/>
  <c r="O160" i="83"/>
  <c r="O159" i="83"/>
  <c r="O158" i="83"/>
  <c r="O157" i="83"/>
  <c r="O156" i="83"/>
  <c r="O146" i="83"/>
  <c r="O145" i="83"/>
  <c r="O144" i="83"/>
  <c r="O143" i="83"/>
  <c r="O142" i="83"/>
  <c r="O141" i="83"/>
  <c r="O140" i="83"/>
  <c r="O139" i="83"/>
  <c r="O138" i="83"/>
  <c r="O137" i="83"/>
  <c r="O136" i="83"/>
  <c r="O130" i="83"/>
  <c r="O126" i="83"/>
  <c r="O125" i="83"/>
  <c r="O122" i="83"/>
  <c r="O107" i="83"/>
  <c r="O104" i="83"/>
  <c r="O102" i="83"/>
  <c r="O97" i="83"/>
  <c r="O94" i="83"/>
  <c r="K188" i="83"/>
  <c r="K187" i="83"/>
  <c r="K186" i="83"/>
  <c r="K185" i="83"/>
  <c r="K184" i="83"/>
  <c r="K183" i="83"/>
  <c r="K182" i="83"/>
  <c r="K181" i="83"/>
  <c r="K180" i="83"/>
  <c r="K179" i="83"/>
  <c r="K178" i="83"/>
  <c r="K177" i="83"/>
  <c r="K176" i="83"/>
  <c r="K175" i="83"/>
  <c r="K174" i="83"/>
  <c r="K173" i="83"/>
  <c r="K172" i="83"/>
  <c r="K171" i="83"/>
  <c r="K170" i="83"/>
  <c r="K169" i="83"/>
  <c r="K168" i="83"/>
  <c r="K167" i="83"/>
  <c r="K166" i="83"/>
  <c r="K165" i="83"/>
  <c r="K164" i="83"/>
  <c r="K163" i="83"/>
  <c r="K162" i="83"/>
  <c r="K161" i="83"/>
  <c r="K160" i="83"/>
  <c r="K159" i="83"/>
  <c r="K158" i="83"/>
  <c r="K157" i="83"/>
  <c r="K156" i="83"/>
  <c r="K155" i="83"/>
  <c r="K154" i="83"/>
  <c r="K153" i="83"/>
  <c r="K152" i="83"/>
  <c r="K151" i="83"/>
  <c r="K150" i="83"/>
  <c r="K149" i="83"/>
  <c r="K148" i="83"/>
  <c r="K147" i="83"/>
  <c r="K146" i="83"/>
  <c r="K145" i="83"/>
  <c r="K144" i="83"/>
  <c r="K143" i="83"/>
  <c r="K142" i="83"/>
  <c r="K141" i="83"/>
  <c r="K140" i="83"/>
  <c r="K139" i="83"/>
  <c r="K138" i="83"/>
  <c r="K137" i="83"/>
  <c r="Q137" i="83" s="1"/>
  <c r="K136" i="83"/>
  <c r="Q136" i="83" s="1"/>
  <c r="K135" i="83"/>
  <c r="K134" i="83"/>
  <c r="K133" i="83"/>
  <c r="K132" i="83"/>
  <c r="K131" i="83"/>
  <c r="K130" i="83"/>
  <c r="K129" i="83"/>
  <c r="K128" i="83"/>
  <c r="K127" i="83"/>
  <c r="K126" i="83"/>
  <c r="K125" i="83"/>
  <c r="K124" i="83"/>
  <c r="K122" i="83"/>
  <c r="K117" i="83"/>
  <c r="K107" i="83"/>
  <c r="K104" i="83"/>
  <c r="K99" i="83"/>
  <c r="K97" i="83"/>
  <c r="F185" i="83"/>
  <c r="F184" i="83"/>
  <c r="F183" i="83"/>
  <c r="F182" i="83"/>
  <c r="F181" i="83"/>
  <c r="F180" i="83"/>
  <c r="F179" i="83"/>
  <c r="F178" i="83"/>
  <c r="F177" i="83"/>
  <c r="F176" i="83"/>
  <c r="F175" i="83"/>
  <c r="F174" i="83"/>
  <c r="F173" i="83"/>
  <c r="F172" i="83"/>
  <c r="F171" i="83"/>
  <c r="F170" i="83"/>
  <c r="F169" i="83"/>
  <c r="F168" i="83"/>
  <c r="F167" i="83"/>
  <c r="F166" i="83"/>
  <c r="F165" i="83"/>
  <c r="F164" i="83"/>
  <c r="F163" i="83"/>
  <c r="F162" i="83"/>
  <c r="F161" i="83"/>
  <c r="F160" i="83"/>
  <c r="F159" i="83"/>
  <c r="F158" i="83"/>
  <c r="F157" i="83"/>
  <c r="F156" i="83"/>
  <c r="F155" i="83"/>
  <c r="F154" i="83"/>
  <c r="F153" i="83"/>
  <c r="F152" i="83"/>
  <c r="F151" i="83"/>
  <c r="F150" i="83"/>
  <c r="F149" i="83"/>
  <c r="F148" i="83"/>
  <c r="F147" i="83"/>
  <c r="F146" i="83"/>
  <c r="F145" i="83"/>
  <c r="F144" i="83"/>
  <c r="F143" i="83"/>
  <c r="F142" i="83"/>
  <c r="F141" i="83"/>
  <c r="F140" i="83"/>
  <c r="F139" i="83"/>
  <c r="F138" i="83"/>
  <c r="F137" i="83"/>
  <c r="F136" i="83"/>
  <c r="F135" i="83"/>
  <c r="F134" i="83"/>
  <c r="F133" i="83"/>
  <c r="F132" i="83"/>
  <c r="F131" i="83"/>
  <c r="F130" i="83"/>
  <c r="F129" i="83"/>
  <c r="F128" i="83"/>
  <c r="F127" i="83"/>
  <c r="F126" i="83"/>
  <c r="F125" i="83"/>
  <c r="F124" i="83"/>
  <c r="F123" i="83"/>
  <c r="F121" i="83"/>
  <c r="F117" i="83"/>
  <c r="F109" i="83"/>
  <c r="F108" i="83"/>
  <c r="F107" i="83"/>
  <c r="F105" i="83"/>
  <c r="F102" i="83"/>
  <c r="F101" i="83"/>
  <c r="P94" i="93" l="1"/>
  <c r="L94" i="93"/>
  <c r="G94" i="93"/>
  <c r="G82" i="93"/>
  <c r="G89" i="93"/>
  <c r="L89" i="93"/>
  <c r="L86" i="93"/>
  <c r="P79" i="93"/>
  <c r="P51" i="93"/>
  <c r="U51" i="93"/>
  <c r="G51" i="93"/>
  <c r="L51" i="93"/>
  <c r="U61" i="93"/>
  <c r="L61" i="93"/>
  <c r="G61" i="93"/>
  <c r="L78" i="93"/>
  <c r="P86" i="93"/>
  <c r="P89" i="93"/>
  <c r="U70" i="93"/>
  <c r="P70" i="93"/>
  <c r="G86" i="93"/>
  <c r="P82" i="93"/>
  <c r="L82" i="93"/>
  <c r="P78" i="93"/>
  <c r="G70" i="93"/>
  <c r="R90" i="93"/>
  <c r="U90" i="93" s="1"/>
  <c r="G78" i="93"/>
  <c r="U47" i="93"/>
  <c r="P47" i="93"/>
  <c r="G47" i="93"/>
  <c r="L47" i="93"/>
  <c r="U93" i="93"/>
  <c r="G93" i="93"/>
  <c r="P93" i="93"/>
  <c r="L93" i="93"/>
  <c r="U77" i="93"/>
  <c r="P77" i="93"/>
  <c r="G77" i="93"/>
  <c r="L77" i="93"/>
  <c r="U48" i="93"/>
  <c r="G48" i="93"/>
  <c r="P48" i="93"/>
  <c r="L48" i="93"/>
  <c r="U84" i="93"/>
  <c r="P84" i="93"/>
  <c r="G84" i="93"/>
  <c r="L84" i="93"/>
  <c r="U81" i="93"/>
  <c r="P81" i="93"/>
  <c r="G81" i="93"/>
  <c r="L81" i="93"/>
  <c r="G80" i="93"/>
  <c r="U85" i="93"/>
  <c r="G85" i="93"/>
  <c r="P85" i="93"/>
  <c r="Q91" i="93"/>
  <c r="R91" i="93" s="1"/>
  <c r="U91" i="93" s="1"/>
  <c r="P61" i="93"/>
  <c r="P83" i="93"/>
  <c r="P80" i="93"/>
  <c r="L83" i="93"/>
  <c r="L80" i="93"/>
  <c r="L85" i="93"/>
  <c r="G83" i="93"/>
  <c r="U79" i="93"/>
  <c r="L79" i="93"/>
  <c r="M83" i="89"/>
  <c r="N83" i="89" s="1"/>
  <c r="M82" i="89"/>
  <c r="N82" i="89" s="1"/>
  <c r="F119" i="67"/>
  <c r="H119" i="67"/>
  <c r="F118" i="67"/>
  <c r="G118" i="67"/>
  <c r="I120" i="67"/>
  <c r="G119" i="67"/>
  <c r="F120" i="67"/>
  <c r="G120" i="67"/>
  <c r="G114" i="67"/>
  <c r="I114" i="67"/>
  <c r="F114" i="67"/>
  <c r="H112" i="67"/>
  <c r="G112" i="67"/>
  <c r="F112" i="67"/>
  <c r="F106" i="67"/>
  <c r="G106" i="67"/>
  <c r="H106" i="67"/>
  <c r="F102" i="67"/>
  <c r="G102" i="67"/>
  <c r="H102" i="67"/>
  <c r="F66" i="67"/>
  <c r="G66" i="67"/>
  <c r="H66" i="67"/>
  <c r="G61" i="67"/>
  <c r="F56" i="67"/>
  <c r="Q165" i="83"/>
  <c r="R165" i="83" s="1"/>
  <c r="Q130" i="83"/>
  <c r="R130" i="83" s="1"/>
  <c r="Q166" i="83"/>
  <c r="R166" i="83" s="1"/>
  <c r="Q178" i="83"/>
  <c r="R178" i="83" s="1"/>
  <c r="Q177" i="83"/>
  <c r="R177" i="83" s="1"/>
  <c r="Q167" i="83"/>
  <c r="R167" i="83" s="1"/>
  <c r="Q179" i="83"/>
  <c r="R179" i="83" s="1"/>
  <c r="Q142" i="83"/>
  <c r="R142" i="83" s="1"/>
  <c r="Q180" i="83"/>
  <c r="R180" i="83" s="1"/>
  <c r="Q168" i="83"/>
  <c r="R168" i="83" s="1"/>
  <c r="Q140" i="83"/>
  <c r="R140" i="83" s="1"/>
  <c r="Q156" i="83"/>
  <c r="R156" i="83" s="1"/>
  <c r="Q163" i="83"/>
  <c r="R163" i="83" s="1"/>
  <c r="Q175" i="83"/>
  <c r="R175" i="83" s="1"/>
  <c r="Q169" i="83"/>
  <c r="R169" i="83" s="1"/>
  <c r="Q146" i="83"/>
  <c r="R146" i="83" s="1"/>
  <c r="Q158" i="83"/>
  <c r="R158" i="83" s="1"/>
  <c r="Q182" i="83"/>
  <c r="R182" i="83" s="1"/>
  <c r="Q138" i="83"/>
  <c r="R138" i="83" s="1"/>
  <c r="Q171" i="83"/>
  <c r="R171" i="83" s="1"/>
  <c r="Q139" i="83"/>
  <c r="R139" i="83" s="1"/>
  <c r="Q161" i="83"/>
  <c r="R161" i="83" s="1"/>
  <c r="Q143" i="83"/>
  <c r="R143" i="83" s="1"/>
  <c r="Q181" i="83"/>
  <c r="R181" i="83" s="1"/>
  <c r="Q173" i="83"/>
  <c r="R173" i="83" s="1"/>
  <c r="Q141" i="83"/>
  <c r="R141" i="83" s="1"/>
  <c r="Q126" i="83"/>
  <c r="R126" i="83" s="1"/>
  <c r="Q162" i="83"/>
  <c r="R162" i="83" s="1"/>
  <c r="Q174" i="83"/>
  <c r="R174" i="83" s="1"/>
  <c r="Q107" i="83"/>
  <c r="R107" i="83" s="1"/>
  <c r="Q144" i="83"/>
  <c r="R144" i="83" s="1"/>
  <c r="Q145" i="83"/>
  <c r="R145" i="83" s="1"/>
  <c r="R137" i="83"/>
  <c r="Q157" i="83"/>
  <c r="R157" i="83" s="1"/>
  <c r="Q125" i="83"/>
  <c r="R125" i="83" s="1"/>
  <c r="Q164" i="83"/>
  <c r="R164" i="83" s="1"/>
  <c r="Q176" i="83"/>
  <c r="R176" i="83" s="1"/>
  <c r="R136" i="83"/>
  <c r="Q170" i="83"/>
  <c r="R170" i="83" s="1"/>
  <c r="Q183" i="83"/>
  <c r="R183" i="83" s="1"/>
  <c r="Q172" i="83"/>
  <c r="R172" i="83" s="1"/>
  <c r="Q184" i="83"/>
  <c r="R184" i="83" s="1"/>
  <c r="Q185" i="83"/>
  <c r="R185" i="83" s="1"/>
  <c r="Q159" i="83"/>
  <c r="R159" i="83" s="1"/>
  <c r="Q160" i="83"/>
  <c r="R160" i="83" s="1"/>
  <c r="N89" i="83" l="1"/>
  <c r="O89" i="83" s="1"/>
  <c r="K89" i="83"/>
  <c r="C89" i="83"/>
  <c r="B89" i="83"/>
  <c r="O88" i="83"/>
  <c r="O87" i="83"/>
  <c r="B87" i="83"/>
  <c r="O86" i="83"/>
  <c r="H86" i="83"/>
  <c r="F86" i="83"/>
  <c r="O85" i="83"/>
  <c r="B85" i="83"/>
  <c r="O84" i="83"/>
  <c r="K84" i="83"/>
  <c r="D84" i="83"/>
  <c r="B84" i="83"/>
  <c r="F84" i="83" s="1"/>
  <c r="O83" i="83"/>
  <c r="K83" i="83"/>
  <c r="F83" i="83"/>
  <c r="O82" i="83"/>
  <c r="F82" i="83"/>
  <c r="J81" i="83"/>
  <c r="J80" i="83" s="1"/>
  <c r="H81" i="83"/>
  <c r="H80" i="83" s="1"/>
  <c r="E81" i="83"/>
  <c r="D81" i="83"/>
  <c r="C81" i="83"/>
  <c r="O80" i="83"/>
  <c r="B80" i="83"/>
  <c r="B81" i="83" s="1"/>
  <c r="O79" i="83"/>
  <c r="K79" i="83"/>
  <c r="F79" i="83"/>
  <c r="O77" i="83"/>
  <c r="F77" i="83"/>
  <c r="O76" i="83"/>
  <c r="K76" i="83"/>
  <c r="F76" i="83"/>
  <c r="N75" i="83"/>
  <c r="I75" i="83"/>
  <c r="K75" i="83" s="1"/>
  <c r="F75" i="83"/>
  <c r="I74" i="83"/>
  <c r="K74" i="83" s="1"/>
  <c r="F74" i="83"/>
  <c r="O73" i="83"/>
  <c r="I73" i="83"/>
  <c r="K73" i="83" s="1"/>
  <c r="F73" i="83"/>
  <c r="O72" i="83"/>
  <c r="K72" i="83"/>
  <c r="F72" i="83"/>
  <c r="Q72" i="83" s="1"/>
  <c r="O71" i="83"/>
  <c r="J71" i="83"/>
  <c r="K71" i="83" s="1"/>
  <c r="F71" i="83"/>
  <c r="O70" i="83"/>
  <c r="K70" i="83"/>
  <c r="F70" i="83"/>
  <c r="O69" i="83"/>
  <c r="K69" i="83"/>
  <c r="F69" i="83"/>
  <c r="O68" i="83"/>
  <c r="K68" i="83"/>
  <c r="F68" i="83"/>
  <c r="O67" i="83"/>
  <c r="K67" i="83"/>
  <c r="F67" i="83"/>
  <c r="O66" i="83"/>
  <c r="F66" i="83"/>
  <c r="O65" i="83"/>
  <c r="F65" i="83"/>
  <c r="O64" i="83"/>
  <c r="F64" i="83"/>
  <c r="O63" i="83"/>
  <c r="F63" i="83"/>
  <c r="O62" i="83"/>
  <c r="H62" i="83"/>
  <c r="F62" i="83"/>
  <c r="O61" i="83"/>
  <c r="J61" i="83"/>
  <c r="J62" i="83" s="1"/>
  <c r="I61" i="83"/>
  <c r="F61" i="83"/>
  <c r="O60" i="83"/>
  <c r="K60" i="83"/>
  <c r="F60" i="83"/>
  <c r="O51" i="83"/>
  <c r="K51" i="83"/>
  <c r="F51" i="83"/>
  <c r="Q51" i="83" s="1"/>
  <c r="O46" i="83"/>
  <c r="O41" i="83"/>
  <c r="K41" i="83"/>
  <c r="F41" i="83"/>
  <c r="K39" i="83"/>
  <c r="O38" i="83"/>
  <c r="H38" i="83"/>
  <c r="K38" i="83" s="1"/>
  <c r="F38" i="83"/>
  <c r="O37" i="83"/>
  <c r="K37" i="83"/>
  <c r="F37" i="83"/>
  <c r="O36" i="83"/>
  <c r="H36" i="83"/>
  <c r="K36" i="83" s="1"/>
  <c r="F36" i="83"/>
  <c r="O19" i="83"/>
  <c r="K19" i="83"/>
  <c r="F19" i="83"/>
  <c r="O13" i="83"/>
  <c r="O12" i="83"/>
  <c r="O11" i="83"/>
  <c r="N9" i="83"/>
  <c r="O9" i="83" s="1"/>
  <c r="J9" i="83"/>
  <c r="K9" i="83" s="1"/>
  <c r="F9" i="83"/>
  <c r="B6" i="83"/>
  <c r="O5" i="83"/>
  <c r="J5" i="83"/>
  <c r="K5" i="83" s="1"/>
  <c r="F5" i="83"/>
  <c r="O4" i="83"/>
  <c r="O3" i="83"/>
  <c r="Y67" i="81"/>
  <c r="Y58" i="81"/>
  <c r="Y52" i="81"/>
  <c r="Y51" i="81"/>
  <c r="Y49" i="81"/>
  <c r="Y47" i="81"/>
  <c r="Y46" i="81"/>
  <c r="Y44" i="81"/>
  <c r="Y43" i="81"/>
  <c r="Y42" i="81"/>
  <c r="Y41" i="81"/>
  <c r="Y40" i="81"/>
  <c r="Y39" i="81"/>
  <c r="Y38" i="81"/>
  <c r="Y36" i="81"/>
  <c r="Y35" i="81"/>
  <c r="Y34" i="81"/>
  <c r="Y33" i="81"/>
  <c r="Y32" i="81"/>
  <c r="Y30" i="81"/>
  <c r="Y29" i="81"/>
  <c r="Y28" i="81"/>
  <c r="Y25" i="81"/>
  <c r="Y24" i="81"/>
  <c r="Y21" i="81"/>
  <c r="Y18" i="81"/>
  <c r="Y17" i="81"/>
  <c r="Y16" i="81"/>
  <c r="Y15" i="81"/>
  <c r="Y14" i="81"/>
  <c r="Y13" i="81"/>
  <c r="Y12" i="81"/>
  <c r="Y11" i="81"/>
  <c r="Y10" i="81"/>
  <c r="Y8" i="81"/>
  <c r="Y7" i="81"/>
  <c r="Y4" i="81"/>
  <c r="R67" i="81"/>
  <c r="R62" i="81"/>
  <c r="R61" i="81"/>
  <c r="R58" i="81"/>
  <c r="Q51" i="81"/>
  <c r="R51" i="81" s="1"/>
  <c r="R50" i="81"/>
  <c r="R48" i="81"/>
  <c r="O49" i="81"/>
  <c r="O47" i="81"/>
  <c r="O44" i="81"/>
  <c r="O36" i="81"/>
  <c r="O35" i="81"/>
  <c r="O33" i="81"/>
  <c r="O29" i="81"/>
  <c r="O27" i="81"/>
  <c r="O15" i="81"/>
  <c r="I5" i="81"/>
  <c r="I61" i="81"/>
  <c r="I52" i="81"/>
  <c r="I51" i="81"/>
  <c r="I50" i="81"/>
  <c r="I49" i="81"/>
  <c r="I48" i="81"/>
  <c r="I47" i="81"/>
  <c r="I45" i="81"/>
  <c r="I43" i="81"/>
  <c r="I37" i="81"/>
  <c r="I36" i="81"/>
  <c r="I35" i="81"/>
  <c r="I34" i="81"/>
  <c r="I33" i="81"/>
  <c r="I31" i="81"/>
  <c r="I28" i="81"/>
  <c r="I23" i="81"/>
  <c r="I22" i="81"/>
  <c r="I19" i="81"/>
  <c r="I9" i="81"/>
  <c r="I6" i="81"/>
  <c r="F20" i="81"/>
  <c r="F6" i="81"/>
  <c r="Q5" i="81"/>
  <c r="R5" i="81" s="1"/>
  <c r="R6" i="81"/>
  <c r="Q9" i="81"/>
  <c r="R9" i="81" s="1"/>
  <c r="Q15" i="81"/>
  <c r="R15" i="81" s="1"/>
  <c r="Q19" i="81"/>
  <c r="R19" i="81" s="1"/>
  <c r="Q20" i="81"/>
  <c r="R20" i="81" s="1"/>
  <c r="Q22" i="81"/>
  <c r="R22" i="81" s="1"/>
  <c r="Q23" i="81"/>
  <c r="R23" i="81" s="1"/>
  <c r="Q25" i="81"/>
  <c r="R25" i="81" s="1"/>
  <c r="Q27" i="81"/>
  <c r="R27" i="81" s="1"/>
  <c r="Q28" i="81"/>
  <c r="R28" i="81" s="1"/>
  <c r="Q29" i="81"/>
  <c r="R29" i="81" s="1"/>
  <c r="Q31" i="81"/>
  <c r="R31" i="81" s="1"/>
  <c r="Q33" i="81"/>
  <c r="R33" i="81" s="1"/>
  <c r="Q34" i="81"/>
  <c r="R34" i="81" s="1"/>
  <c r="Q35" i="81"/>
  <c r="R35" i="81" s="1"/>
  <c r="Q36" i="81"/>
  <c r="R36" i="81" s="1"/>
  <c r="Q37" i="81"/>
  <c r="R37" i="81" s="1"/>
  <c r="Q43" i="81"/>
  <c r="R43" i="81" s="1"/>
  <c r="Q44" i="81"/>
  <c r="R44" i="81" s="1"/>
  <c r="Q45" i="81"/>
  <c r="R45" i="81" s="1"/>
  <c r="Q47" i="81"/>
  <c r="R47" i="81" s="1"/>
  <c r="Q49" i="81"/>
  <c r="R49" i="81" s="1"/>
  <c r="Q52" i="81"/>
  <c r="R52" i="81" s="1"/>
  <c r="U88" i="49"/>
  <c r="U83" i="49"/>
  <c r="U82" i="49"/>
  <c r="U80" i="49"/>
  <c r="U79" i="49"/>
  <c r="U78" i="49"/>
  <c r="U75" i="49"/>
  <c r="U74" i="49"/>
  <c r="U73" i="49"/>
  <c r="U72" i="49"/>
  <c r="U71" i="49"/>
  <c r="U70" i="49"/>
  <c r="U69" i="49"/>
  <c r="U68" i="49"/>
  <c r="U67" i="49"/>
  <c r="U66" i="49"/>
  <c r="U65" i="49"/>
  <c r="U62" i="49"/>
  <c r="U61" i="49"/>
  <c r="U60" i="49"/>
  <c r="U59" i="49"/>
  <c r="U50" i="49"/>
  <c r="U40" i="49"/>
  <c r="U37" i="49"/>
  <c r="U36" i="49"/>
  <c r="U35" i="49"/>
  <c r="U18" i="49"/>
  <c r="U8" i="49"/>
  <c r="U4" i="49"/>
  <c r="J16" i="56"/>
  <c r="J17" i="56"/>
  <c r="J18" i="56"/>
  <c r="J19" i="56"/>
  <c r="J20" i="56"/>
  <c r="J21" i="56"/>
  <c r="J22" i="56"/>
  <c r="J23" i="56"/>
  <c r="J24" i="56"/>
  <c r="J25" i="56"/>
  <c r="H16" i="56"/>
  <c r="H17" i="56"/>
  <c r="H19" i="56"/>
  <c r="H20" i="56"/>
  <c r="H21" i="56"/>
  <c r="H22" i="56"/>
  <c r="H23" i="56"/>
  <c r="H24" i="56"/>
  <c r="H25" i="56"/>
  <c r="G16" i="56"/>
  <c r="G17" i="56"/>
  <c r="G18" i="56"/>
  <c r="G19" i="56"/>
  <c r="G20" i="56"/>
  <c r="G21" i="56"/>
  <c r="G22" i="56"/>
  <c r="G23" i="56"/>
  <c r="G24" i="56"/>
  <c r="G25" i="56"/>
  <c r="I5" i="56"/>
  <c r="I6" i="56"/>
  <c r="I7" i="56"/>
  <c r="I8" i="56"/>
  <c r="I9" i="56"/>
  <c r="I10" i="56"/>
  <c r="I11" i="56"/>
  <c r="I12" i="56"/>
  <c r="I13" i="56"/>
  <c r="I14" i="56"/>
  <c r="K14" i="56"/>
  <c r="K13" i="56"/>
  <c r="K12" i="56"/>
  <c r="K11" i="56"/>
  <c r="K10" i="56"/>
  <c r="K9" i="56"/>
  <c r="K8" i="56"/>
  <c r="K7" i="56"/>
  <c r="G4" i="70"/>
  <c r="G8" i="70"/>
  <c r="G18" i="70"/>
  <c r="G35" i="70"/>
  <c r="G60" i="70"/>
  <c r="G61" i="70"/>
  <c r="G62" i="70"/>
  <c r="G65" i="70"/>
  <c r="G79" i="70"/>
  <c r="G80" i="70"/>
  <c r="G88" i="70"/>
  <c r="O88" i="70"/>
  <c r="N88" i="70"/>
  <c r="K88" i="70"/>
  <c r="C88" i="70"/>
  <c r="B88" i="70"/>
  <c r="F88" i="70" s="1"/>
  <c r="O87" i="70"/>
  <c r="O86" i="70"/>
  <c r="B86" i="70"/>
  <c r="O85" i="70"/>
  <c r="H85" i="70"/>
  <c r="F85" i="70"/>
  <c r="O84" i="70"/>
  <c r="B84" i="70"/>
  <c r="O83" i="70"/>
  <c r="K83" i="70"/>
  <c r="D83" i="70"/>
  <c r="B83" i="70"/>
  <c r="F83" i="70" s="1"/>
  <c r="O82" i="70"/>
  <c r="K82" i="70"/>
  <c r="F82" i="70"/>
  <c r="Q82" i="70" s="1"/>
  <c r="R82" i="70" s="1"/>
  <c r="P82" i="70" s="1"/>
  <c r="O81" i="70"/>
  <c r="F81" i="70"/>
  <c r="J80" i="70"/>
  <c r="J79" i="70" s="1"/>
  <c r="H80" i="70"/>
  <c r="K80" i="70" s="1"/>
  <c r="E80" i="70"/>
  <c r="D80" i="70"/>
  <c r="C80" i="70"/>
  <c r="O79" i="70"/>
  <c r="O80" i="70" s="1"/>
  <c r="H79" i="70"/>
  <c r="K79" i="70" s="1"/>
  <c r="F79" i="70"/>
  <c r="B79" i="70"/>
  <c r="B80" i="70" s="1"/>
  <c r="F80" i="70" s="1"/>
  <c r="O78" i="70"/>
  <c r="Q78" i="70" s="1"/>
  <c r="M78" i="70"/>
  <c r="K78" i="70"/>
  <c r="F78" i="70"/>
  <c r="O76" i="70"/>
  <c r="F76" i="70"/>
  <c r="O75" i="70"/>
  <c r="O74" i="70" s="1"/>
  <c r="K75" i="70"/>
  <c r="F75" i="70"/>
  <c r="Q75" i="70" s="1"/>
  <c r="N74" i="70"/>
  <c r="K74" i="70"/>
  <c r="I74" i="70"/>
  <c r="F74" i="70"/>
  <c r="I73" i="70"/>
  <c r="K73" i="70" s="1"/>
  <c r="F73" i="70"/>
  <c r="O72" i="70"/>
  <c r="M72" i="70"/>
  <c r="K72" i="70"/>
  <c r="I72" i="70"/>
  <c r="F72" i="70"/>
  <c r="O71" i="70"/>
  <c r="K71" i="70"/>
  <c r="F71" i="70"/>
  <c r="M71" i="70" s="1"/>
  <c r="O70" i="70"/>
  <c r="J70" i="70"/>
  <c r="K70" i="70" s="1"/>
  <c r="F70" i="70"/>
  <c r="Q70" i="70" s="1"/>
  <c r="O69" i="70"/>
  <c r="K69" i="70"/>
  <c r="F69" i="70"/>
  <c r="O68" i="70"/>
  <c r="M68" i="70"/>
  <c r="K68" i="70"/>
  <c r="F68" i="70"/>
  <c r="O67" i="70"/>
  <c r="K67" i="70"/>
  <c r="F67" i="70"/>
  <c r="O66" i="70"/>
  <c r="M66" i="70"/>
  <c r="K66" i="70"/>
  <c r="F66" i="70"/>
  <c r="O65" i="70"/>
  <c r="Q65" i="70" s="1"/>
  <c r="F65" i="70"/>
  <c r="R65" i="70" s="1"/>
  <c r="O64" i="70"/>
  <c r="F64" i="70"/>
  <c r="O63" i="70"/>
  <c r="F63" i="70"/>
  <c r="O62" i="70"/>
  <c r="F62" i="70"/>
  <c r="O61" i="70"/>
  <c r="J61" i="70"/>
  <c r="J62" i="70" s="1"/>
  <c r="H61" i="70"/>
  <c r="K61" i="70" s="1"/>
  <c r="F61" i="70"/>
  <c r="O60" i="70"/>
  <c r="J60" i="70"/>
  <c r="I60" i="70"/>
  <c r="K60" i="70" s="1"/>
  <c r="F60" i="70"/>
  <c r="Q60" i="70" s="1"/>
  <c r="Q59" i="70"/>
  <c r="O59" i="70"/>
  <c r="K59" i="70"/>
  <c r="F59" i="70"/>
  <c r="R59" i="70" s="1"/>
  <c r="O50" i="70"/>
  <c r="K50" i="70"/>
  <c r="F50" i="70"/>
  <c r="O45" i="70"/>
  <c r="O40" i="70"/>
  <c r="K40" i="70"/>
  <c r="F40" i="70"/>
  <c r="K38" i="70"/>
  <c r="O37" i="70"/>
  <c r="H37" i="70"/>
  <c r="K37" i="70" s="1"/>
  <c r="F37" i="70"/>
  <c r="O36" i="70"/>
  <c r="K36" i="70"/>
  <c r="F36" i="70"/>
  <c r="Q36" i="70" s="1"/>
  <c r="O35" i="70"/>
  <c r="H35" i="70"/>
  <c r="K35" i="70" s="1"/>
  <c r="Q35" i="70" s="1"/>
  <c r="F35" i="70"/>
  <c r="R35" i="70" s="1"/>
  <c r="O18" i="70"/>
  <c r="Q18" i="70" s="1"/>
  <c r="K18" i="70"/>
  <c r="F18" i="70"/>
  <c r="M18" i="70" s="1"/>
  <c r="O12" i="70"/>
  <c r="O11" i="70"/>
  <c r="O10" i="70"/>
  <c r="N8" i="70"/>
  <c r="O8" i="70" s="1"/>
  <c r="J8" i="70"/>
  <c r="K8" i="70" s="1"/>
  <c r="Q8" i="70" s="1"/>
  <c r="F8" i="70"/>
  <c r="R8" i="70" s="1"/>
  <c r="B5" i="70"/>
  <c r="O4" i="70"/>
  <c r="J4" i="70"/>
  <c r="K4" i="70" s="1"/>
  <c r="F4" i="70"/>
  <c r="O3" i="70"/>
  <c r="O2" i="70"/>
  <c r="E6" i="80"/>
  <c r="E5" i="80"/>
  <c r="E4" i="80"/>
  <c r="E3" i="80"/>
  <c r="D61" i="67"/>
  <c r="D66" i="67"/>
  <c r="C66" i="67"/>
  <c r="C88" i="49"/>
  <c r="K88" i="49"/>
  <c r="N88" i="49"/>
  <c r="K61" i="83" l="1"/>
  <c r="Q61" i="83" s="1"/>
  <c r="Q74" i="83"/>
  <c r="M37" i="83"/>
  <c r="Q19" i="83"/>
  <c r="R19" i="83" s="1"/>
  <c r="Q79" i="83"/>
  <c r="R79" i="83" s="1"/>
  <c r="Q37" i="83"/>
  <c r="R37" i="83" s="1"/>
  <c r="F81" i="83"/>
  <c r="Q5" i="83"/>
  <c r="R5" i="83" s="1"/>
  <c r="F80" i="83"/>
  <c r="Q80" i="83" s="1"/>
  <c r="R80" i="83" s="1"/>
  <c r="M19" i="83"/>
  <c r="Q60" i="83"/>
  <c r="R60" i="83" s="1"/>
  <c r="Q63" i="83"/>
  <c r="R63" i="83" s="1"/>
  <c r="R72" i="83"/>
  <c r="O81" i="83"/>
  <c r="F89" i="83"/>
  <c r="Q89" i="83" s="1"/>
  <c r="R89" i="83" s="1"/>
  <c r="Q76" i="83"/>
  <c r="Q36" i="83"/>
  <c r="R36" i="83" s="1"/>
  <c r="R61" i="83"/>
  <c r="Q41" i="83"/>
  <c r="R41" i="83" s="1"/>
  <c r="K80" i="83"/>
  <c r="R74" i="83"/>
  <c r="M74" i="83"/>
  <c r="R51" i="83"/>
  <c r="M75" i="83"/>
  <c r="M38" i="83"/>
  <c r="P72" i="83"/>
  <c r="M36" i="83"/>
  <c r="R76" i="83"/>
  <c r="Q73" i="83"/>
  <c r="R73" i="83" s="1"/>
  <c r="M73" i="83"/>
  <c r="J63" i="83"/>
  <c r="K62" i="83"/>
  <c r="Q9" i="83"/>
  <c r="R9" i="83" s="1"/>
  <c r="M67" i="83"/>
  <c r="M68" i="83"/>
  <c r="M69" i="83"/>
  <c r="M70" i="83"/>
  <c r="M71" i="83"/>
  <c r="M72" i="83"/>
  <c r="K81" i="83"/>
  <c r="Q84" i="83"/>
  <c r="R84" i="83" s="1"/>
  <c r="Q83" i="83"/>
  <c r="R83" i="83" s="1"/>
  <c r="M41" i="83"/>
  <c r="M51" i="83"/>
  <c r="M60" i="83"/>
  <c r="Q67" i="83"/>
  <c r="R67" i="83" s="1"/>
  <c r="Q68" i="83"/>
  <c r="R68" i="83" s="1"/>
  <c r="Q69" i="83"/>
  <c r="R69" i="83" s="1"/>
  <c r="Q70" i="83"/>
  <c r="R70" i="83" s="1"/>
  <c r="M76" i="83"/>
  <c r="M79" i="83"/>
  <c r="Q38" i="83"/>
  <c r="R38" i="83" s="1"/>
  <c r="Q66" i="83"/>
  <c r="R66" i="83" s="1"/>
  <c r="Q71" i="83"/>
  <c r="R71" i="83" s="1"/>
  <c r="O75" i="83"/>
  <c r="Q75" i="83" s="1"/>
  <c r="R75" i="83" s="1"/>
  <c r="R83" i="70"/>
  <c r="Q83" i="70"/>
  <c r="R70" i="70"/>
  <c r="L70" i="70"/>
  <c r="R62" i="70"/>
  <c r="R66" i="70"/>
  <c r="L66" i="70" s="1"/>
  <c r="Q80" i="70"/>
  <c r="R80" i="70" s="1"/>
  <c r="Q74" i="70"/>
  <c r="R74" i="70" s="1"/>
  <c r="R4" i="70"/>
  <c r="Q4" i="70"/>
  <c r="L37" i="70"/>
  <c r="M37" i="70"/>
  <c r="M73" i="70"/>
  <c r="Q73" i="70"/>
  <c r="R73" i="70" s="1"/>
  <c r="Q79" i="70"/>
  <c r="R79" i="70" s="1"/>
  <c r="R88" i="70"/>
  <c r="Q88" i="70"/>
  <c r="P59" i="70"/>
  <c r="G59" i="70"/>
  <c r="R78" i="70"/>
  <c r="L78" i="70" s="1"/>
  <c r="L82" i="70"/>
  <c r="R40" i="70"/>
  <c r="G40" i="70" s="1"/>
  <c r="L59" i="70"/>
  <c r="R60" i="70"/>
  <c r="R18" i="70"/>
  <c r="R36" i="70"/>
  <c r="P36" i="70" s="1"/>
  <c r="M67" i="70"/>
  <c r="Q71" i="70"/>
  <c r="Q37" i="70"/>
  <c r="P78" i="70"/>
  <c r="R37" i="70"/>
  <c r="P37" i="70" s="1"/>
  <c r="M50" i="70"/>
  <c r="Q66" i="70"/>
  <c r="M74" i="70"/>
  <c r="M59" i="70"/>
  <c r="Q67" i="70"/>
  <c r="R67" i="70" s="1"/>
  <c r="M35" i="70"/>
  <c r="M36" i="70"/>
  <c r="Q61" i="70"/>
  <c r="R61" i="70" s="1"/>
  <c r="Q68" i="70"/>
  <c r="R68" i="70" s="1"/>
  <c r="M70" i="70"/>
  <c r="M75" i="70"/>
  <c r="M40" i="70"/>
  <c r="R75" i="70"/>
  <c r="P75" i="70" s="1"/>
  <c r="Q62" i="70"/>
  <c r="R71" i="70"/>
  <c r="P71" i="70" s="1"/>
  <c r="M69" i="70"/>
  <c r="Q72" i="70"/>
  <c r="R72" i="70" s="1"/>
  <c r="G82" i="70"/>
  <c r="Q40" i="70"/>
  <c r="Q50" i="70"/>
  <c r="R50" i="70" s="1"/>
  <c r="Q69" i="70"/>
  <c r="R69" i="70" s="1"/>
  <c r="L74" i="83" l="1"/>
  <c r="P84" i="83"/>
  <c r="P67" i="83"/>
  <c r="L72" i="83"/>
  <c r="P60" i="83"/>
  <c r="G72" i="83"/>
  <c r="P37" i="83"/>
  <c r="G37" i="83"/>
  <c r="L37" i="83"/>
  <c r="Q81" i="83"/>
  <c r="R81" i="83" s="1"/>
  <c r="G51" i="83"/>
  <c r="L41" i="83"/>
  <c r="G41" i="83"/>
  <c r="P41" i="83"/>
  <c r="P70" i="83"/>
  <c r="G60" i="83"/>
  <c r="G74" i="83"/>
  <c r="L60" i="83"/>
  <c r="G68" i="83"/>
  <c r="G79" i="83"/>
  <c r="G67" i="83"/>
  <c r="P79" i="83"/>
  <c r="P73" i="83"/>
  <c r="G73" i="83"/>
  <c r="L73" i="83"/>
  <c r="L71" i="83"/>
  <c r="P71" i="83"/>
  <c r="G71" i="83"/>
  <c r="G69" i="83"/>
  <c r="L69" i="83"/>
  <c r="P69" i="83"/>
  <c r="G75" i="83"/>
  <c r="L75" i="83"/>
  <c r="P83" i="83"/>
  <c r="L83" i="83"/>
  <c r="G83" i="83"/>
  <c r="P76" i="83"/>
  <c r="P38" i="83"/>
  <c r="G38" i="83"/>
  <c r="L84" i="83"/>
  <c r="G84" i="83"/>
  <c r="L38" i="83"/>
  <c r="L70" i="83"/>
  <c r="G76" i="83"/>
  <c r="G70" i="83"/>
  <c r="L79" i="83"/>
  <c r="P68" i="83"/>
  <c r="L76" i="83"/>
  <c r="L68" i="83"/>
  <c r="P51" i="83"/>
  <c r="L67" i="83"/>
  <c r="L51" i="83"/>
  <c r="P74" i="83"/>
  <c r="P75" i="83"/>
  <c r="Q62" i="83"/>
  <c r="R62" i="83" s="1"/>
  <c r="L68" i="70"/>
  <c r="G68" i="70"/>
  <c r="P68" i="70"/>
  <c r="L50" i="70"/>
  <c r="G50" i="70"/>
  <c r="P50" i="70"/>
  <c r="G74" i="70"/>
  <c r="P74" i="70"/>
  <c r="L74" i="70"/>
  <c r="G73" i="70"/>
  <c r="P73" i="70"/>
  <c r="L73" i="70"/>
  <c r="L72" i="70"/>
  <c r="P72" i="70"/>
  <c r="G72" i="70"/>
  <c r="P69" i="70"/>
  <c r="L69" i="70"/>
  <c r="G69" i="70"/>
  <c r="G67" i="70"/>
  <c r="L67" i="70"/>
  <c r="P67" i="70"/>
  <c r="G66" i="70"/>
  <c r="P66" i="70"/>
  <c r="L71" i="70"/>
  <c r="G37" i="70"/>
  <c r="P70" i="70"/>
  <c r="G70" i="70"/>
  <c r="L83" i="70"/>
  <c r="P83" i="70"/>
  <c r="L36" i="70"/>
  <c r="G71" i="70"/>
  <c r="G78" i="70"/>
  <c r="P40" i="70"/>
  <c r="G36" i="70"/>
  <c r="L40" i="70"/>
  <c r="L75" i="70"/>
  <c r="G75" i="70"/>
  <c r="G83" i="70"/>
  <c r="N74" i="49"/>
  <c r="I74" i="49"/>
  <c r="I73" i="49"/>
  <c r="I72" i="49"/>
  <c r="J70" i="49"/>
  <c r="B88" i="49"/>
  <c r="F88" i="49" s="1"/>
  <c r="O88" i="49"/>
  <c r="O87" i="49"/>
  <c r="B86" i="49"/>
  <c r="O86" i="49"/>
  <c r="H85" i="49"/>
  <c r="J8" i="49"/>
  <c r="B5" i="49"/>
  <c r="E2" i="67"/>
  <c r="D2" i="67"/>
  <c r="G2" i="67" s="1"/>
  <c r="J4" i="49"/>
  <c r="K4" i="49" s="1"/>
  <c r="F4" i="49"/>
  <c r="Q88" i="49" l="1"/>
  <c r="R88" i="49" s="1"/>
  <c r="B66" i="67" s="1"/>
  <c r="O4" i="49"/>
  <c r="O3" i="49"/>
  <c r="Q4" i="49" l="1"/>
  <c r="R4" i="49"/>
  <c r="J80" i="49" l="1"/>
  <c r="J79" i="49" s="1"/>
  <c r="E80" i="49"/>
  <c r="D80" i="49"/>
  <c r="C80" i="49"/>
  <c r="D83" i="49"/>
  <c r="K83" i="49"/>
  <c r="K82" i="49"/>
  <c r="H80" i="49"/>
  <c r="K80" i="49" l="1"/>
  <c r="H79" i="49"/>
  <c r="K79" i="49" s="1"/>
  <c r="B84" i="49"/>
  <c r="B83" i="49"/>
  <c r="F83" i="49" s="1"/>
  <c r="F82" i="49"/>
  <c r="O12" i="49" l="1"/>
  <c r="O11" i="49"/>
  <c r="O10" i="49"/>
  <c r="E10" i="78"/>
  <c r="D10" i="78"/>
  <c r="E9" i="78"/>
  <c r="D9" i="78"/>
  <c r="E8" i="78"/>
  <c r="D8" i="78"/>
  <c r="E7" i="78"/>
  <c r="D7" i="78"/>
  <c r="E6" i="78"/>
  <c r="D6" i="78"/>
  <c r="E5" i="78"/>
  <c r="D5" i="78"/>
  <c r="E37" i="67"/>
  <c r="H37" i="67" s="1"/>
  <c r="E30" i="67"/>
  <c r="H30" i="67" s="1"/>
  <c r="E25" i="67"/>
  <c r="F25" i="67" s="1"/>
  <c r="E22" i="67"/>
  <c r="E21" i="67"/>
  <c r="E20" i="67"/>
  <c r="H20" i="67" s="1"/>
  <c r="E13" i="67"/>
  <c r="F13" i="67" s="1"/>
  <c r="E6" i="67"/>
  <c r="H6" i="67" s="1"/>
  <c r="K52" i="76"/>
  <c r="K51" i="76"/>
  <c r="K49" i="76"/>
  <c r="K47" i="76"/>
  <c r="K45" i="76"/>
  <c r="K44" i="76"/>
  <c r="K43" i="76"/>
  <c r="K37" i="76"/>
  <c r="K34" i="76"/>
  <c r="K36" i="76"/>
  <c r="K35" i="76"/>
  <c r="K33" i="76"/>
  <c r="K25" i="76"/>
  <c r="K31" i="76"/>
  <c r="K29" i="76"/>
  <c r="K28" i="76"/>
  <c r="K27" i="76"/>
  <c r="K23" i="76"/>
  <c r="K22" i="76"/>
  <c r="K20" i="76"/>
  <c r="K15" i="76"/>
  <c r="K19" i="76"/>
  <c r="K9" i="76"/>
  <c r="K6" i="76"/>
  <c r="K5" i="76"/>
  <c r="G25" i="67" l="1"/>
  <c r="G30" i="67"/>
  <c r="F30" i="67"/>
  <c r="G6" i="67"/>
  <c r="F37" i="67"/>
  <c r="I25" i="67"/>
  <c r="I30" i="67"/>
  <c r="I15" i="67"/>
  <c r="I20" i="67"/>
  <c r="H13" i="67"/>
  <c r="F20" i="67"/>
  <c r="H25" i="67"/>
  <c r="F22" i="67"/>
  <c r="I5" i="67"/>
  <c r="H61" i="49"/>
  <c r="J60" i="49"/>
  <c r="J61" i="49" s="1"/>
  <c r="J62" i="49" s="1"/>
  <c r="I60" i="49"/>
  <c r="O35" i="49"/>
  <c r="B79" i="49"/>
  <c r="O85" i="49"/>
  <c r="O84" i="49"/>
  <c r="O83" i="49"/>
  <c r="O82" i="49"/>
  <c r="Q82" i="49" s="1"/>
  <c r="R82" i="49" s="1"/>
  <c r="O81" i="49"/>
  <c r="O79" i="49"/>
  <c r="O78" i="49"/>
  <c r="O76" i="49"/>
  <c r="O59" i="49"/>
  <c r="O60" i="49"/>
  <c r="O61" i="49"/>
  <c r="O62" i="49"/>
  <c r="O63" i="49"/>
  <c r="O64" i="49"/>
  <c r="O65" i="49"/>
  <c r="O66" i="49"/>
  <c r="O67" i="49"/>
  <c r="O68" i="49"/>
  <c r="O69" i="49"/>
  <c r="O70" i="49"/>
  <c r="O71" i="49"/>
  <c r="N8" i="49"/>
  <c r="O8" i="49" s="1"/>
  <c r="K8" i="49"/>
  <c r="F8" i="49"/>
  <c r="O2" i="49"/>
  <c r="F81" i="49"/>
  <c r="F76" i="49"/>
  <c r="F35" i="49"/>
  <c r="H35" i="49"/>
  <c r="O18" i="49"/>
  <c r="F85" i="49"/>
  <c r="L82" i="49" l="1"/>
  <c r="B60" i="67"/>
  <c r="O80" i="49"/>
  <c r="F79" i="49"/>
  <c r="B80" i="49"/>
  <c r="F80" i="49" s="1"/>
  <c r="Q83" i="49"/>
  <c r="R83" i="49" s="1"/>
  <c r="B61" i="67" s="1"/>
  <c r="G82" i="49"/>
  <c r="P82" i="49"/>
  <c r="K60" i="49"/>
  <c r="K61" i="49"/>
  <c r="Q8" i="49"/>
  <c r="R8" i="49" s="1"/>
  <c r="O75" i="49"/>
  <c r="O72" i="49"/>
  <c r="O50" i="49"/>
  <c r="O45" i="49"/>
  <c r="O40" i="49"/>
  <c r="O37" i="49"/>
  <c r="O36" i="49"/>
  <c r="K78" i="49"/>
  <c r="K75" i="49"/>
  <c r="K74" i="49"/>
  <c r="K73" i="49"/>
  <c r="K72" i="49"/>
  <c r="K71" i="49"/>
  <c r="K70" i="49"/>
  <c r="K69" i="49"/>
  <c r="K68" i="49"/>
  <c r="K67" i="49"/>
  <c r="K66" i="49"/>
  <c r="K59" i="49"/>
  <c r="K50" i="49"/>
  <c r="K40" i="49"/>
  <c r="K38" i="49"/>
  <c r="K36" i="49"/>
  <c r="K35" i="49"/>
  <c r="M35" i="49" s="1"/>
  <c r="K18" i="49"/>
  <c r="F78" i="49"/>
  <c r="F75" i="49"/>
  <c r="F74" i="49"/>
  <c r="F73" i="49"/>
  <c r="F72" i="49"/>
  <c r="F71" i="49"/>
  <c r="F70" i="49"/>
  <c r="F69" i="49"/>
  <c r="F68" i="49"/>
  <c r="F67" i="49"/>
  <c r="F66" i="49"/>
  <c r="F65" i="49"/>
  <c r="Q65" i="49" s="1"/>
  <c r="R65" i="49" s="1"/>
  <c r="B43" i="67" s="1"/>
  <c r="F64" i="49"/>
  <c r="F63" i="49"/>
  <c r="F62" i="49"/>
  <c r="Q62" i="49" s="1"/>
  <c r="R62" i="49" s="1"/>
  <c r="B40" i="67" s="1"/>
  <c r="E40" i="67" s="1"/>
  <c r="F61" i="49"/>
  <c r="F60" i="49"/>
  <c r="F59" i="49"/>
  <c r="F50" i="49"/>
  <c r="F40" i="49"/>
  <c r="F37" i="49"/>
  <c r="F36" i="49"/>
  <c r="F18" i="49"/>
  <c r="Q12" i="56"/>
  <c r="Q11" i="56"/>
  <c r="Q10" i="56"/>
  <c r="S57" i="70"/>
  <c r="T57" i="70" s="1"/>
  <c r="S54" i="70"/>
  <c r="T54" i="70" s="1"/>
  <c r="S53" i="70"/>
  <c r="T53" i="70" s="1"/>
  <c r="S50" i="70"/>
  <c r="T50" i="70" s="1"/>
  <c r="S24" i="70"/>
  <c r="T24" i="70" s="1"/>
  <c r="S23" i="70"/>
  <c r="T23" i="70" s="1"/>
  <c r="T11" i="56"/>
  <c r="T10" i="56"/>
  <c r="T9" i="56"/>
  <c r="T12" i="56"/>
  <c r="S8" i="56"/>
  <c r="T8" i="56" s="1"/>
  <c r="S7" i="56"/>
  <c r="T7" i="56" s="1"/>
  <c r="F40" i="67" l="1"/>
  <c r="G40" i="67"/>
  <c r="Q80" i="49"/>
  <c r="R80" i="49" s="1"/>
  <c r="B58" i="67" s="1"/>
  <c r="E58" i="67" s="1"/>
  <c r="L83" i="49"/>
  <c r="G83" i="49"/>
  <c r="P83" i="49"/>
  <c r="Q79" i="49"/>
  <c r="R79" i="49" s="1"/>
  <c r="B57" i="67" s="1"/>
  <c r="Q35" i="49"/>
  <c r="R35" i="49" s="1"/>
  <c r="Q60" i="49"/>
  <c r="R60" i="49" s="1"/>
  <c r="B38" i="67" s="1"/>
  <c r="E38" i="67" s="1"/>
  <c r="Q61" i="49"/>
  <c r="R61" i="49" s="1"/>
  <c r="B39" i="67" s="1"/>
  <c r="E39" i="67" s="1"/>
  <c r="Q18" i="49"/>
  <c r="R18" i="49" s="1"/>
  <c r="S52" i="70"/>
  <c r="T52" i="70" s="1"/>
  <c r="S56" i="70"/>
  <c r="T56" i="70" s="1"/>
  <c r="S59" i="70"/>
  <c r="T59" i="70" s="1"/>
  <c r="S37" i="70"/>
  <c r="T37" i="70" s="1"/>
  <c r="S45" i="70"/>
  <c r="T45" i="70" s="1"/>
  <c r="S55" i="70"/>
  <c r="T55" i="70" s="1"/>
  <c r="S58" i="70"/>
  <c r="T58" i="70" s="1"/>
  <c r="V12" i="67"/>
  <c r="V11" i="67"/>
  <c r="V10" i="67"/>
  <c r="V9" i="67"/>
  <c r="V8" i="67"/>
  <c r="V7" i="67"/>
  <c r="V6" i="67"/>
  <c r="V5" i="67"/>
  <c r="V4" i="67"/>
  <c r="V3" i="67"/>
  <c r="F39" i="67" l="1"/>
  <c r="I40" i="67"/>
  <c r="H39" i="67"/>
  <c r="F38" i="67"/>
  <c r="H38" i="67"/>
  <c r="H37" i="49"/>
  <c r="K37" i="49" s="1"/>
  <c r="O74" i="49" l="1"/>
  <c r="M40" i="49" l="1"/>
  <c r="Q40" i="49"/>
  <c r="R40" i="49" s="1"/>
  <c r="P40" i="49" s="1"/>
  <c r="W37" i="49"/>
  <c r="X37" i="49" s="1"/>
  <c r="W36" i="49"/>
  <c r="X36" i="49" s="1"/>
  <c r="G40" i="49" l="1"/>
  <c r="L40" i="49"/>
  <c r="M71" i="49"/>
  <c r="J90" i="59"/>
  <c r="D112" i="59"/>
  <c r="D111" i="59"/>
  <c r="D110" i="59"/>
  <c r="D108" i="59"/>
  <c r="D107" i="59"/>
  <c r="D106" i="59"/>
  <c r="D105" i="59"/>
  <c r="D104" i="59"/>
  <c r="D103" i="59"/>
  <c r="D102" i="59"/>
  <c r="D101" i="59"/>
  <c r="D100" i="59"/>
  <c r="D99" i="59"/>
  <c r="D98" i="59"/>
  <c r="D97" i="59"/>
  <c r="D96" i="59"/>
  <c r="D95" i="59"/>
  <c r="D94" i="59"/>
  <c r="D93" i="59"/>
  <c r="D92" i="59"/>
  <c r="D91" i="59"/>
  <c r="D90" i="59"/>
  <c r="G40" i="59"/>
  <c r="G41" i="59"/>
  <c r="G42" i="59"/>
  <c r="G43" i="59"/>
  <c r="G81" i="59" s="1"/>
  <c r="G44" i="59"/>
  <c r="G45" i="59"/>
  <c r="G46" i="59"/>
  <c r="G47" i="59"/>
  <c r="G48" i="59"/>
  <c r="G49" i="59"/>
  <c r="G50" i="59"/>
  <c r="G51" i="59"/>
  <c r="G52" i="59"/>
  <c r="G53" i="59"/>
  <c r="G54" i="59"/>
  <c r="G55" i="59"/>
  <c r="G56" i="59"/>
  <c r="G57" i="59"/>
  <c r="G58" i="59"/>
  <c r="G59" i="59"/>
  <c r="G60" i="59"/>
  <c r="G61" i="59"/>
  <c r="G62" i="59"/>
  <c r="G63" i="59"/>
  <c r="G64" i="59"/>
  <c r="G66" i="59"/>
  <c r="G67" i="59"/>
  <c r="G68" i="59"/>
  <c r="G69" i="59"/>
  <c r="G70" i="59"/>
  <c r="G71" i="59"/>
  <c r="G72" i="59"/>
  <c r="G73" i="59"/>
  <c r="G74" i="59"/>
  <c r="G75" i="59"/>
  <c r="G76" i="59"/>
  <c r="G77" i="59"/>
  <c r="G78" i="59"/>
  <c r="G79" i="59"/>
  <c r="G80" i="59"/>
  <c r="C81" i="59"/>
  <c r="E40" i="58"/>
  <c r="F40" i="58" s="1"/>
  <c r="E39" i="58"/>
  <c r="F39" i="58" s="1"/>
  <c r="E38" i="58"/>
  <c r="F38" i="58" s="1"/>
  <c r="E37" i="58"/>
  <c r="F37" i="58" s="1"/>
  <c r="E36" i="58"/>
  <c r="F36" i="58" s="1"/>
  <c r="E35" i="58"/>
  <c r="F35" i="58" s="1"/>
  <c r="E34" i="58"/>
  <c r="F34" i="58" s="1"/>
  <c r="E33" i="58"/>
  <c r="F33" i="58" s="1"/>
  <c r="E32" i="58"/>
  <c r="F32" i="58" s="1"/>
  <c r="E31" i="58"/>
  <c r="F31" i="58" s="1"/>
  <c r="E30" i="58"/>
  <c r="F30" i="58" s="1"/>
  <c r="E29" i="58"/>
  <c r="F29" i="58" s="1"/>
  <c r="E28" i="58"/>
  <c r="F28" i="58" s="1"/>
  <c r="E27" i="58"/>
  <c r="F27" i="58" s="1"/>
  <c r="E26" i="58"/>
  <c r="F26" i="58" s="1"/>
  <c r="E25" i="58"/>
  <c r="F25" i="58" s="1"/>
  <c r="E24" i="58"/>
  <c r="F24" i="58" s="1"/>
  <c r="E23" i="58"/>
  <c r="F23" i="58" s="1"/>
  <c r="E22" i="58"/>
  <c r="F22" i="58" s="1"/>
  <c r="E21" i="58"/>
  <c r="F21" i="58" s="1"/>
  <c r="E20" i="58"/>
  <c r="F20" i="58" s="1"/>
  <c r="E19" i="58"/>
  <c r="F19" i="58" s="1"/>
  <c r="E18" i="58"/>
  <c r="F18" i="58" s="1"/>
  <c r="E17" i="58"/>
  <c r="F17" i="58" s="1"/>
  <c r="E16" i="58"/>
  <c r="F16" i="58" s="1"/>
  <c r="E15" i="58"/>
  <c r="F15" i="58" s="1"/>
  <c r="E14" i="58"/>
  <c r="F14" i="58" s="1"/>
  <c r="E13" i="58"/>
  <c r="F13" i="58" s="1"/>
  <c r="E12" i="58"/>
  <c r="F12" i="58" s="1"/>
  <c r="E11" i="58"/>
  <c r="F11" i="58" s="1"/>
  <c r="E10" i="58"/>
  <c r="F10" i="58" s="1"/>
  <c r="E9" i="58"/>
  <c r="F9" i="58" s="1"/>
  <c r="E8" i="58"/>
  <c r="F8" i="58" s="1"/>
  <c r="E7" i="58"/>
  <c r="F7" i="58" s="1"/>
  <c r="E6" i="58"/>
  <c r="F6" i="58" s="1"/>
  <c r="E5" i="58"/>
  <c r="F5" i="58" s="1"/>
  <c r="E4" i="58"/>
  <c r="F4" i="58" s="1"/>
  <c r="Y27" i="57"/>
  <c r="X27" i="57"/>
  <c r="E6" i="57"/>
  <c r="I6" i="57" s="1"/>
  <c r="K6" i="57" s="1"/>
  <c r="E7" i="57"/>
  <c r="I7" i="57" s="1"/>
  <c r="K7" i="57" s="1"/>
  <c r="E8" i="57"/>
  <c r="I8" i="57" s="1"/>
  <c r="K8" i="57" s="1"/>
  <c r="E9" i="57"/>
  <c r="I9" i="57" s="1"/>
  <c r="K9" i="57" s="1"/>
  <c r="E10" i="57"/>
  <c r="I10" i="57" s="1"/>
  <c r="K10" i="57" s="1"/>
  <c r="E11" i="57"/>
  <c r="I11" i="57" s="1"/>
  <c r="K11" i="57" s="1"/>
  <c r="E12" i="57"/>
  <c r="I12" i="57" s="1"/>
  <c r="K12" i="57" s="1"/>
  <c r="E13" i="57"/>
  <c r="I13" i="57" s="1"/>
  <c r="K13" i="57" s="1"/>
  <c r="E14" i="57"/>
  <c r="I14" i="57" s="1"/>
  <c r="K14" i="57" s="1"/>
  <c r="E15" i="57"/>
  <c r="I15" i="57" s="1"/>
  <c r="K15" i="57" s="1"/>
  <c r="E16" i="57"/>
  <c r="I16" i="57" s="1"/>
  <c r="K16" i="57" s="1"/>
  <c r="E17" i="57"/>
  <c r="I17" i="57" s="1"/>
  <c r="K17" i="57" s="1"/>
  <c r="E18" i="57"/>
  <c r="I18" i="57" s="1"/>
  <c r="K18" i="57" s="1"/>
  <c r="E19" i="57"/>
  <c r="I19" i="57" s="1"/>
  <c r="K19" i="57" s="1"/>
  <c r="E20" i="57"/>
  <c r="I20" i="57" s="1"/>
  <c r="K20" i="57" s="1"/>
  <c r="E21" i="57"/>
  <c r="I21" i="57" s="1"/>
  <c r="K21" i="57" s="1"/>
  <c r="E22" i="57"/>
  <c r="I22" i="57" s="1"/>
  <c r="K22" i="57" s="1"/>
  <c r="E23" i="57"/>
  <c r="E24" i="57"/>
  <c r="I24" i="57" s="1"/>
  <c r="K24" i="57" s="1"/>
  <c r="E25" i="57"/>
  <c r="I25" i="57" s="1"/>
  <c r="K25" i="57" s="1"/>
  <c r="E27" i="57"/>
  <c r="I27" i="57" s="1"/>
  <c r="K27" i="57" s="1"/>
  <c r="E28" i="57"/>
  <c r="D29" i="57"/>
  <c r="G6" i="57"/>
  <c r="G8" i="57"/>
  <c r="G9" i="57"/>
  <c r="G10" i="57"/>
  <c r="J10" i="57" s="1"/>
  <c r="L10" i="57" s="1"/>
  <c r="G11" i="57"/>
  <c r="G12" i="57"/>
  <c r="G13" i="57"/>
  <c r="G14" i="57"/>
  <c r="J14" i="57" s="1"/>
  <c r="L14" i="57" s="1"/>
  <c r="G15" i="57"/>
  <c r="J15" i="57" s="1"/>
  <c r="L15" i="57" s="1"/>
  <c r="G16" i="57"/>
  <c r="J16" i="57" s="1"/>
  <c r="L16" i="57" s="1"/>
  <c r="G17" i="57"/>
  <c r="J17" i="57" s="1"/>
  <c r="L17" i="57" s="1"/>
  <c r="G18" i="57"/>
  <c r="J18" i="57" s="1"/>
  <c r="L18" i="57" s="1"/>
  <c r="G19" i="57"/>
  <c r="G20" i="57"/>
  <c r="G21" i="57"/>
  <c r="J21" i="57" s="1"/>
  <c r="L21" i="57" s="1"/>
  <c r="G22" i="57"/>
  <c r="J22" i="57" s="1"/>
  <c r="L22" i="57" s="1"/>
  <c r="G23" i="57"/>
  <c r="G24" i="57"/>
  <c r="J24" i="57" s="1"/>
  <c r="L24" i="57" s="1"/>
  <c r="G25" i="57"/>
  <c r="J25" i="57" s="1"/>
  <c r="L25" i="57" s="1"/>
  <c r="G26" i="57"/>
  <c r="J26" i="57" s="1"/>
  <c r="L26" i="57" s="1"/>
  <c r="G27" i="57"/>
  <c r="G28" i="57"/>
  <c r="J28" i="57"/>
  <c r="L28" i="57"/>
  <c r="I28" i="57"/>
  <c r="K28" i="57"/>
  <c r="J27" i="57"/>
  <c r="L27" i="57"/>
  <c r="I26" i="57"/>
  <c r="K26" i="57" s="1"/>
  <c r="J23" i="57"/>
  <c r="L23" i="57"/>
  <c r="I23" i="57"/>
  <c r="K23" i="57"/>
  <c r="J20" i="57"/>
  <c r="L20" i="57"/>
  <c r="J19" i="57"/>
  <c r="L19" i="57"/>
  <c r="J13" i="57"/>
  <c r="L13" i="57"/>
  <c r="J12" i="57"/>
  <c r="L12" i="57"/>
  <c r="J11" i="57"/>
  <c r="L11" i="57"/>
  <c r="J9" i="57"/>
  <c r="L9" i="57"/>
  <c r="J7" i="57"/>
  <c r="L7" i="57" s="1"/>
  <c r="J6" i="57"/>
  <c r="L6" i="57"/>
  <c r="H9" i="56"/>
  <c r="H10" i="56"/>
  <c r="H11" i="56"/>
  <c r="Q36" i="49"/>
  <c r="W50" i="49"/>
  <c r="X50" i="49" s="1"/>
  <c r="W59" i="49"/>
  <c r="X59" i="49" s="1"/>
  <c r="Q59" i="49"/>
  <c r="W66" i="49"/>
  <c r="X66" i="49" s="1"/>
  <c r="W67" i="49"/>
  <c r="X67" i="49" s="1"/>
  <c r="W68" i="49"/>
  <c r="X68" i="49" s="1"/>
  <c r="W69" i="49"/>
  <c r="X69" i="49" s="1"/>
  <c r="W70" i="49"/>
  <c r="X70" i="49" s="1"/>
  <c r="W71" i="49"/>
  <c r="X71" i="49" s="1"/>
  <c r="W72" i="49"/>
  <c r="X72" i="49" s="1"/>
  <c r="W73" i="49"/>
  <c r="X73" i="49" s="1"/>
  <c r="Q73" i="49"/>
  <c r="Q75" i="49"/>
  <c r="M78" i="49"/>
  <c r="W64" i="49"/>
  <c r="X64" i="49" s="1"/>
  <c r="M18" i="49"/>
  <c r="G29" i="57" l="1"/>
  <c r="J29" i="57" s="1"/>
  <c r="L29" i="57" s="1"/>
  <c r="Q37" i="49"/>
  <c r="R37" i="49" s="1"/>
  <c r="Q74" i="49"/>
  <c r="M74" i="49"/>
  <c r="R74" i="49"/>
  <c r="B52" i="67" s="1"/>
  <c r="E52" i="67" s="1"/>
  <c r="M50" i="49"/>
  <c r="M67" i="49"/>
  <c r="M75" i="49"/>
  <c r="M66" i="49"/>
  <c r="Q69" i="49"/>
  <c r="R69" i="49" s="1"/>
  <c r="M72" i="49"/>
  <c r="Q78" i="49"/>
  <c r="R78" i="49" s="1"/>
  <c r="B56" i="67" s="1"/>
  <c r="Q71" i="49"/>
  <c r="R71" i="49" s="1"/>
  <c r="Q67" i="49"/>
  <c r="R67" i="49" s="1"/>
  <c r="M37" i="49"/>
  <c r="R73" i="49"/>
  <c r="R59" i="49"/>
  <c r="L59" i="49" s="1"/>
  <c r="M68" i="49"/>
  <c r="E29" i="57"/>
  <c r="I29" i="57" s="1"/>
  <c r="K29" i="57" s="1"/>
  <c r="M69" i="49"/>
  <c r="M36" i="49"/>
  <c r="M70" i="49"/>
  <c r="R75" i="49"/>
  <c r="R36" i="49"/>
  <c r="Q72" i="49"/>
  <c r="R72" i="49" s="1"/>
  <c r="B50" i="67" s="1"/>
  <c r="E50" i="67" s="1"/>
  <c r="Q70" i="49"/>
  <c r="R70" i="49" s="1"/>
  <c r="B48" i="67" s="1"/>
  <c r="E48" i="67" s="1"/>
  <c r="G48" i="67" s="1"/>
  <c r="Q68" i="49"/>
  <c r="R68" i="49" s="1"/>
  <c r="B46" i="67" s="1"/>
  <c r="E46" i="67" s="1"/>
  <c r="G46" i="67" s="1"/>
  <c r="Q66" i="49"/>
  <c r="R66" i="49" s="1"/>
  <c r="B44" i="67" s="1"/>
  <c r="E44" i="67" s="1"/>
  <c r="Q50" i="49"/>
  <c r="R50" i="49" s="1"/>
  <c r="J8" i="57"/>
  <c r="L8" i="57" s="1"/>
  <c r="M59" i="49"/>
  <c r="M73" i="49"/>
  <c r="L71" i="49" l="1"/>
  <c r="B49" i="67"/>
  <c r="E49" i="67" s="1"/>
  <c r="P75" i="49"/>
  <c r="B53" i="67"/>
  <c r="E53" i="67" s="1"/>
  <c r="L69" i="49"/>
  <c r="B47" i="67"/>
  <c r="E47" i="67" s="1"/>
  <c r="H44" i="67"/>
  <c r="F44" i="67"/>
  <c r="L73" i="49"/>
  <c r="B51" i="67"/>
  <c r="E51" i="67" s="1"/>
  <c r="L67" i="49"/>
  <c r="B45" i="67"/>
  <c r="E45" i="67" s="1"/>
  <c r="L75" i="49"/>
  <c r="P74" i="49"/>
  <c r="G74" i="49"/>
  <c r="L74" i="49"/>
  <c r="G37" i="49"/>
  <c r="V42" i="49"/>
  <c r="V72" i="49"/>
  <c r="P73" i="49"/>
  <c r="P69" i="49"/>
  <c r="G75" i="49"/>
  <c r="P78" i="49"/>
  <c r="G78" i="49"/>
  <c r="L78" i="49"/>
  <c r="P59" i="49"/>
  <c r="G71" i="49"/>
  <c r="P67" i="49"/>
  <c r="G67" i="49"/>
  <c r="G59" i="49"/>
  <c r="G73" i="49"/>
  <c r="P71" i="49"/>
  <c r="G69" i="49"/>
  <c r="P37" i="49"/>
  <c r="L37" i="49"/>
  <c r="P50" i="49"/>
  <c r="L50" i="49"/>
  <c r="G50" i="49"/>
  <c r="P66" i="49"/>
  <c r="L66" i="49"/>
  <c r="G66" i="49"/>
  <c r="P70" i="49"/>
  <c r="G70" i="49"/>
  <c r="L70" i="49"/>
  <c r="P68" i="49"/>
  <c r="L68" i="49"/>
  <c r="G68" i="49"/>
  <c r="P72" i="49"/>
  <c r="L72" i="49"/>
  <c r="G72" i="49"/>
  <c r="G36" i="49"/>
  <c r="L36" i="49"/>
  <c r="P36" i="49"/>
  <c r="G47" i="67" l="1"/>
  <c r="F47" i="67"/>
  <c r="I47" i="67"/>
  <c r="H47" i="67"/>
  <c r="H45" i="67"/>
  <c r="F45" i="67"/>
  <c r="G45" i="67"/>
  <c r="I51" i="67"/>
  <c r="H51" i="67"/>
  <c r="G51" i="67"/>
  <c r="F51" i="67"/>
  <c r="I49" i="67"/>
  <c r="G49" i="67"/>
  <c r="F49" i="67"/>
  <c r="H49" i="67"/>
  <c r="Q98" i="83"/>
  <c r="R98" i="83" s="1"/>
</calcChain>
</file>

<file path=xl/sharedStrings.xml><?xml version="1.0" encoding="utf-8"?>
<sst xmlns="http://schemas.openxmlformats.org/spreadsheetml/2006/main" count="1803" uniqueCount="819">
  <si>
    <t>rye</t>
  </si>
  <si>
    <t>meat</t>
  </si>
  <si>
    <t>butter</t>
  </si>
  <si>
    <t>soap</t>
  </si>
  <si>
    <t>candle</t>
  </si>
  <si>
    <t>year</t>
  </si>
  <si>
    <t>salt</t>
  </si>
  <si>
    <t>рожь</t>
  </si>
  <si>
    <t>процент расходов на продукты</t>
  </si>
  <si>
    <t>всего</t>
  </si>
  <si>
    <t>процент расходов на на промышленные товары</t>
  </si>
  <si>
    <t>процент расходов на отопление</t>
  </si>
  <si>
    <t>ø</t>
  </si>
  <si>
    <t>индекс Москва</t>
  </si>
  <si>
    <t>index</t>
  </si>
  <si>
    <t>индекс Питер</t>
  </si>
  <si>
    <t>реальный индекс питер</t>
  </si>
  <si>
    <t>1720е</t>
  </si>
  <si>
    <t>1730е</t>
  </si>
  <si>
    <t>1740е</t>
  </si>
  <si>
    <t>1750е</t>
  </si>
  <si>
    <t>1760е</t>
  </si>
  <si>
    <t>1770е</t>
  </si>
  <si>
    <t>1780е</t>
  </si>
  <si>
    <t>1790е</t>
  </si>
  <si>
    <t>индекс продукты</t>
  </si>
  <si>
    <t>номинал корзины</t>
  </si>
  <si>
    <t>роздано людям</t>
  </si>
  <si>
    <t>ржи натурою</t>
  </si>
  <si>
    <t>вместо круп овса</t>
  </si>
  <si>
    <t>кто по специальности</t>
  </si>
  <si>
    <t>фио</t>
  </si>
  <si>
    <t>с кем</t>
  </si>
  <si>
    <t>четверть</t>
  </si>
  <si>
    <t>четверик</t>
  </si>
  <si>
    <t>месяц</t>
  </si>
  <si>
    <t>писарь</t>
  </si>
  <si>
    <t>Пожарков Савелий</t>
  </si>
  <si>
    <t>с матерью и сестрою</t>
  </si>
  <si>
    <t>1 и 1/9</t>
  </si>
  <si>
    <t>употребляемому в разные должности старику</t>
  </si>
  <si>
    <t>Поляков Илья</t>
  </si>
  <si>
    <t>с женой</t>
  </si>
  <si>
    <t>староста</t>
  </si>
  <si>
    <t>Халдин Василий</t>
  </si>
  <si>
    <t>половина</t>
  </si>
  <si>
    <t>конюх</t>
  </si>
  <si>
    <t xml:space="preserve">Дмитрев Савелий </t>
  </si>
  <si>
    <t>три четверти</t>
  </si>
  <si>
    <t>Ларионов Гаврила</t>
  </si>
  <si>
    <t>Песков Трифон</t>
  </si>
  <si>
    <t>с четырьмя детьми и женой</t>
  </si>
  <si>
    <t>2 с половиной</t>
  </si>
  <si>
    <t>Поляков Демид</t>
  </si>
  <si>
    <t>Новиков Семен</t>
  </si>
  <si>
    <t>Яковлев Потап</t>
  </si>
  <si>
    <t>Степанов Савостьян</t>
  </si>
  <si>
    <t>Орлов Семен</t>
  </si>
  <si>
    <t>скотник</t>
  </si>
  <si>
    <t>Осипов Семен</t>
  </si>
  <si>
    <t>с дочерью и женой</t>
  </si>
  <si>
    <t>1 с половиной</t>
  </si>
  <si>
    <t>в подмоге у скотника</t>
  </si>
  <si>
    <t>Савельев Аника</t>
  </si>
  <si>
    <t>с тремя детьми и женой</t>
  </si>
  <si>
    <t>Губанов Матюшка</t>
  </si>
  <si>
    <t>Игнатова Алиона вдова</t>
  </si>
  <si>
    <t>свинарь</t>
  </si>
  <si>
    <t>Звягин Андрей</t>
  </si>
  <si>
    <t>Степанов Алексей</t>
  </si>
  <si>
    <t>кузнец</t>
  </si>
  <si>
    <t xml:space="preserve">Трацков Григорий </t>
  </si>
  <si>
    <t>с тещей и женой</t>
  </si>
  <si>
    <t>Трацков Алексей</t>
  </si>
  <si>
    <t>с падчерицей девкою и женой</t>
  </si>
  <si>
    <t>птичник</t>
  </si>
  <si>
    <t>Жаворонков Василий</t>
  </si>
  <si>
    <t>овчар</t>
  </si>
  <si>
    <t>Замалюгин Иван</t>
  </si>
  <si>
    <t>пчельник</t>
  </si>
  <si>
    <t>Авдонин Корней</t>
  </si>
  <si>
    <t>у приказчика на посылках</t>
  </si>
  <si>
    <t>Юрмашев Ванюшка малый</t>
  </si>
  <si>
    <t>всего в нынешний год 1786 выдано дворовым</t>
  </si>
  <si>
    <t>вместо круп рожью вдвое</t>
  </si>
  <si>
    <t>вместо круп овсом</t>
  </si>
  <si>
    <t>РГАДА. Ф. 1263. оп. 1. д. 5929</t>
  </si>
  <si>
    <t>Тула</t>
  </si>
  <si>
    <t>сколько человек в семье</t>
  </si>
  <si>
    <t>выдача на месяц ржи</t>
  </si>
  <si>
    <t>выдача на месяц овса вместо круп</t>
  </si>
  <si>
    <t>ржи натурою archive</t>
  </si>
  <si>
    <t>в месяц на человека овса</t>
  </si>
  <si>
    <t>в месяц на человека ржи</t>
  </si>
  <si>
    <t>в год на человека ржи</t>
  </si>
  <si>
    <t>в год на человека овса</t>
  </si>
  <si>
    <t>выдача на месяц ржи (чет)</t>
  </si>
  <si>
    <t>выдача на месяц овса вместо круп (чет)</t>
  </si>
  <si>
    <t>в месяц на человека ржи (чет)</t>
  </si>
  <si>
    <t>в месяц на человека овса (чет)</t>
  </si>
  <si>
    <t>в год на человека ржи (чет)</t>
  </si>
  <si>
    <t>в год на человека овса (чет)</t>
  </si>
  <si>
    <t>Итого</t>
  </si>
  <si>
    <t>Михаил Аглов с матерью</t>
  </si>
  <si>
    <t>Иван Орлов</t>
  </si>
  <si>
    <t>Петр Давыдов с женой</t>
  </si>
  <si>
    <t>Стряпчий Семен Русинов с женой</t>
  </si>
  <si>
    <t>Илья Кашницов</t>
  </si>
  <si>
    <t>Талузанов Андрей с женой</t>
  </si>
  <si>
    <t xml:space="preserve">Чаплягин Василий </t>
  </si>
  <si>
    <t>Гваздовский Иван</t>
  </si>
  <si>
    <t>Соловьев Иван</t>
  </si>
  <si>
    <t>Гваздовский Иван маленькой</t>
  </si>
  <si>
    <t>Талузанов Алексей</t>
  </si>
  <si>
    <t>Соловьев Матевй</t>
  </si>
  <si>
    <t>Алексинский Иван что живет у учителя</t>
  </si>
  <si>
    <t>Вдовы</t>
  </si>
  <si>
    <t>Рунова А</t>
  </si>
  <si>
    <t>Кормилица Домна</t>
  </si>
  <si>
    <t>Кормилица Арина</t>
  </si>
  <si>
    <t>Стрелева Федосья</t>
  </si>
  <si>
    <t>Гваздовская Мавра</t>
  </si>
  <si>
    <t>Александрова Марья</t>
  </si>
  <si>
    <t>Дворянка Аксинья</t>
  </si>
  <si>
    <t>Гваздовская Авдотья</t>
  </si>
  <si>
    <t>Давдова Татьяна</t>
  </si>
  <si>
    <t>Знаменская Настасья</t>
  </si>
  <si>
    <t>Приспешник Алексей с женою</t>
  </si>
  <si>
    <t>Клюшникова жена Дарья Семенова</t>
  </si>
  <si>
    <t>Повара Андрея Чесалова жене Наталье</t>
  </si>
  <si>
    <t>Петрова Афимья</t>
  </si>
  <si>
    <t>Работныя</t>
  </si>
  <si>
    <t>Приспешник Григорий</t>
  </si>
  <si>
    <t>Ермолаев Василий</t>
  </si>
  <si>
    <t>Кирсанов Евстафий с женой</t>
  </si>
  <si>
    <t>Стрелюев Борис</t>
  </si>
  <si>
    <t>РГАДА. Ф. 1263. Оп. 1 д. 6228</t>
  </si>
  <si>
    <t>количество человек в семье</t>
  </si>
  <si>
    <t>ФИО</t>
  </si>
  <si>
    <t>портной</t>
  </si>
  <si>
    <t>Михайлов Александр</t>
  </si>
  <si>
    <t>Степан</t>
  </si>
  <si>
    <t>повар</t>
  </si>
  <si>
    <t>Данилов Андрей</t>
  </si>
  <si>
    <t>Афанасий с женою</t>
  </si>
  <si>
    <t>Сергей</t>
  </si>
  <si>
    <t xml:space="preserve"> Кирсанов Федор с женою</t>
  </si>
  <si>
    <t>Клюшник</t>
  </si>
  <si>
    <t>Девка</t>
  </si>
  <si>
    <t>ржи в месяц (чет)</t>
  </si>
  <si>
    <t>ржи в год (четверть)</t>
  </si>
  <si>
    <t>ржи в год а человека (чет)</t>
  </si>
  <si>
    <t>число лет</t>
  </si>
  <si>
    <t>жалованье</t>
  </si>
  <si>
    <t>на платье</t>
  </si>
  <si>
    <t>на пищу</t>
  </si>
  <si>
    <t>должность</t>
  </si>
  <si>
    <t>Смирнов Андрей</t>
  </si>
  <si>
    <t>дятка</t>
  </si>
  <si>
    <t>Родионов Митрофан</t>
  </si>
  <si>
    <t>камердинер</t>
  </si>
  <si>
    <t>Гусарев Иван</t>
  </si>
  <si>
    <t>парикмахер</t>
  </si>
  <si>
    <t>Беляев Федор</t>
  </si>
  <si>
    <t>Башмашников Михайло</t>
  </si>
  <si>
    <t>при учителе</t>
  </si>
  <si>
    <t>Афанасий украинский мальчик</t>
  </si>
  <si>
    <t>мальчики</t>
  </si>
  <si>
    <t>Киселев Иван</t>
  </si>
  <si>
    <t>Естифеев Дмитрий</t>
  </si>
  <si>
    <t>при канторе сторожи и жены их прачками</t>
  </si>
  <si>
    <t>жена</t>
  </si>
  <si>
    <t>Степанов Леонтий</t>
  </si>
  <si>
    <t>Правитель Семен Смирнов</t>
  </si>
  <si>
    <t>дети 3 сына</t>
  </si>
  <si>
    <t>Голубев Никита</t>
  </si>
  <si>
    <t>Подкатов Аврам</t>
  </si>
  <si>
    <t>Золотарев Семен</t>
  </si>
  <si>
    <t>для посылок</t>
  </si>
  <si>
    <t>Балашев Михаил</t>
  </si>
  <si>
    <t>Мизинцев Ларион</t>
  </si>
  <si>
    <t>Бычков Арефей</t>
  </si>
  <si>
    <t>Соколов Степан</t>
  </si>
  <si>
    <t>Гаврило</t>
  </si>
  <si>
    <t>Садовой егор</t>
  </si>
  <si>
    <t>Афанасьев Клим</t>
  </si>
  <si>
    <t>Лебедев Яков</t>
  </si>
  <si>
    <t>сторож и садовый ученик</t>
  </si>
  <si>
    <t>Рычагов Николай</t>
  </si>
  <si>
    <t>поваренной ученик</t>
  </si>
  <si>
    <t>Пилщиков Евдоким</t>
  </si>
  <si>
    <t>на заднем дворе дворник</t>
  </si>
  <si>
    <t>Зеленцов Карп вдов</t>
  </si>
  <si>
    <t>Самойлов Федор</t>
  </si>
  <si>
    <t>Усачев Федот</t>
  </si>
  <si>
    <t>прикащик Беляев Андрей с женой</t>
  </si>
  <si>
    <t>прикащик</t>
  </si>
  <si>
    <t>Алпатьев Илья с женой и дочкой</t>
  </si>
  <si>
    <t>был отпущен на волю но за старостию места себе не нашел безо всякой должности</t>
  </si>
  <si>
    <t>Менщиков Алексей Иванович</t>
  </si>
  <si>
    <t>слеп и ничего не видит</t>
  </si>
  <si>
    <t>Ермолаев Ананий жена и двое детей</t>
  </si>
  <si>
    <t>без должности, а был лакеем</t>
  </si>
  <si>
    <t>Иванова Анна вдова с 2 детьми</t>
  </si>
  <si>
    <t>муж был лесником</t>
  </si>
  <si>
    <t>Невкин Алексей подпрапорщик с женой</t>
  </si>
  <si>
    <t>при каменном доме</t>
  </si>
  <si>
    <t>Андреев Иван  с женой и дочкой</t>
  </si>
  <si>
    <t>бывший конюх, сейчас смотритель</t>
  </si>
  <si>
    <t>Федоров Иван с жейно и 6 детьми</t>
  </si>
  <si>
    <t>столяр, смотритель</t>
  </si>
  <si>
    <t>Никитин Иван с жена</t>
  </si>
  <si>
    <t>престарелый конюх</t>
  </si>
  <si>
    <t>Гусарев Федор с женой и дочкой</t>
  </si>
  <si>
    <t>Морозов Василий вдов</t>
  </si>
  <si>
    <t>Панов Илья Трофимов</t>
  </si>
  <si>
    <t>Царев Федот с женой</t>
  </si>
  <si>
    <t>был отпущен по паспорту но за старостию вернулся в симу на жалованье</t>
  </si>
  <si>
    <t>Козьмин Михаил с женой и двумя внуками</t>
  </si>
  <si>
    <t>Макаров Василий с женой</t>
  </si>
  <si>
    <t>Акулов Семен с женой и 5 детьми</t>
  </si>
  <si>
    <t>бывший кучер, стотож при церкив, дети учатся</t>
  </si>
  <si>
    <t>Селиверство Алексей с женой</t>
  </si>
  <si>
    <t>был писарем а сейчас без должности</t>
  </si>
  <si>
    <t>Авдотья Никитична</t>
  </si>
  <si>
    <t>вдова престарелая</t>
  </si>
  <si>
    <t>Авдотья Ильина</t>
  </si>
  <si>
    <t>Марфа Лаврентьева</t>
  </si>
  <si>
    <t>Катерина Иванова</t>
  </si>
  <si>
    <t>Авдотья Барадулина</t>
  </si>
  <si>
    <t>Авдотья Дмитриевна Шарникова</t>
  </si>
  <si>
    <t>4-ро ее детей</t>
  </si>
  <si>
    <t>грамоте обучены</t>
  </si>
  <si>
    <t>жена после карешенниникова</t>
  </si>
  <si>
    <t>трое детей старший</t>
  </si>
  <si>
    <t>грамоте обучен</t>
  </si>
  <si>
    <t>Проба Степан Никитич с женой и двумя детми</t>
  </si>
  <si>
    <t>при лавках сторож</t>
  </si>
  <si>
    <t>вдова и сын</t>
  </si>
  <si>
    <t>муж был конюхом</t>
  </si>
  <si>
    <t>Иванов Иван и жена</t>
  </si>
  <si>
    <t>садовник</t>
  </si>
  <si>
    <t>Петров Максим , жена и сын</t>
  </si>
  <si>
    <t>садовник, но глазами болен</t>
  </si>
  <si>
    <t>Кузмин Калина</t>
  </si>
  <si>
    <t>садовый ученик</t>
  </si>
  <si>
    <t>от 17 до 9</t>
  </si>
  <si>
    <t>Ильин Гаврило учитель</t>
  </si>
  <si>
    <t>учитель</t>
  </si>
  <si>
    <t>богадельники мужчины 10 человек</t>
  </si>
  <si>
    <t>от 72 до 32</t>
  </si>
  <si>
    <t>богадельники</t>
  </si>
  <si>
    <t>богадельники женщины 5 человек</t>
  </si>
  <si>
    <t>от 75 до 46</t>
  </si>
  <si>
    <t>Федоров Сергей с женой и дочкой</t>
  </si>
  <si>
    <t>Наумов Яков</t>
  </si>
  <si>
    <t>бумашкин борис с женой</t>
  </si>
  <si>
    <t>без указания</t>
  </si>
  <si>
    <t>вдова</t>
  </si>
  <si>
    <t>РГАДА. Ф, 1263. Оп. 1. д. 6365 1780</t>
  </si>
  <si>
    <t>мамка</t>
  </si>
  <si>
    <t>Чернышева Мавра</t>
  </si>
  <si>
    <t>сын Федор</t>
  </si>
  <si>
    <t>Пенсии бывшей мамке Анне Трепаревой</t>
  </si>
  <si>
    <t>правитель про канторе из симских дворовых людей</t>
  </si>
  <si>
    <t>сын Иван</t>
  </si>
  <si>
    <t>престарелый</t>
  </si>
  <si>
    <t>число людей в домохозяйстве</t>
  </si>
  <si>
    <t>обучающиеся писать и словесной грамоте 8 человек</t>
  </si>
  <si>
    <t>\</t>
  </si>
  <si>
    <t>годовой доход</t>
  </si>
  <si>
    <t>число людей ее получающих</t>
  </si>
  <si>
    <t>доход в день (в рублях)</t>
  </si>
  <si>
    <t>costs of food</t>
  </si>
  <si>
    <t>costs of industrial goods</t>
  </si>
  <si>
    <t>the costs of barebone basket</t>
  </si>
  <si>
    <t>rye (chetvert)</t>
  </si>
  <si>
    <t>beef (pound)</t>
  </si>
  <si>
    <t>butter (pound)</t>
  </si>
  <si>
    <t>% of food</t>
  </si>
  <si>
    <t>tallow candle (pood)</t>
  </si>
  <si>
    <t>linen cloth (arshin)</t>
  </si>
  <si>
    <t>soap (pood)</t>
  </si>
  <si>
    <t>% of industrial goods</t>
  </si>
  <si>
    <t>the cost of basket without firewood and rent</t>
  </si>
  <si>
    <t>% of firewood</t>
  </si>
  <si>
    <t>5% of rent (roubles)</t>
  </si>
  <si>
    <t>costs of firewood (0.26 of sazhen)</t>
  </si>
  <si>
    <t>the cost of annual subsistence basket per person (rubles)</t>
  </si>
  <si>
    <t>unskilled labor (daily wages in rubles)</t>
  </si>
  <si>
    <t>the cost of annual subsistence basket per family (rubles)</t>
  </si>
  <si>
    <t>salt (pood)</t>
  </si>
  <si>
    <t>Расчет  цены ржи см. вкладку ВБ. По данным за март- апрель говядина - 2 руб. пуд, т.е. 5 коп. фунт</t>
  </si>
  <si>
    <t xml:space="preserve">Колебания в цене холста могут объясняться разницей сортов. Так, в 1764 г. в Синдальную типографию действительно покупал токий холст по 4 коп. арш. Но толстый закупался по 2 коп. (РГАДА. Ф. 1184 Оп. 1. 1764. Д. 3715. Л 8, </t>
  </si>
  <si>
    <t>Подозрительно дорогие свечи</t>
  </si>
  <si>
    <t>Year</t>
  </si>
  <si>
    <t>Prodaction per day, pcs..</t>
  </si>
  <si>
    <t>Payment per 1000 pcs., rub.</t>
  </si>
  <si>
    <t>Day wage (calculation), rub.</t>
  </si>
  <si>
    <t>Wage per season (calculation), rub.</t>
  </si>
  <si>
    <t xml:space="preserve">Price of rye, rub. Per chetvert’ </t>
  </si>
  <si>
    <t>Cost of 3 bare bone baskets , rub.</t>
  </si>
  <si>
    <t>Welfare ratio for a couple with 2 children</t>
  </si>
  <si>
    <t>10,71[1]</t>
  </si>
  <si>
    <t>16,56*</t>
  </si>
  <si>
    <t>18,53**</t>
  </si>
  <si>
    <t>32,82***</t>
  </si>
  <si>
    <t>42, 27****</t>
  </si>
  <si>
    <r>
      <t>[1]</t>
    </r>
    <r>
      <rPr>
        <sz val="10"/>
        <color theme="1"/>
        <rFont val="Times New Roman"/>
        <family val="1"/>
        <charset val="204"/>
      </rPr>
      <t xml:space="preserve"> The cost of bare bone basket for a person was calculated founding on the highest prices for 1696 – 1704 from Boris Mironov’s (</t>
    </r>
    <r>
      <rPr>
        <sz val="10"/>
        <color rgb="FF000000"/>
        <rFont val="Times New Roman"/>
        <family val="1"/>
        <charset val="204"/>
      </rPr>
      <t xml:space="preserve">Boris Mironov Russia. Prices and wages 1590 – 1871, Global Price and Income History Group: </t>
    </r>
    <r>
      <rPr>
        <sz val="10"/>
        <color theme="1"/>
        <rFont val="Times New Roman"/>
        <family val="1"/>
        <charset val="204"/>
      </rPr>
      <t>http://gpih.ucdavis.edu/Datafilelist.htm</t>
    </r>
    <r>
      <rPr>
        <sz val="10"/>
        <color rgb="FF000000"/>
        <rFont val="Times New Roman"/>
        <family val="1"/>
        <charset val="204"/>
      </rPr>
      <t xml:space="preserve"> (</t>
    </r>
    <r>
      <rPr>
        <u/>
        <sz val="10"/>
        <color rgb="FF0000FF"/>
        <rFont val="Times New Roman"/>
        <family val="1"/>
        <charset val="204"/>
      </rPr>
      <t xml:space="preserve">Accessed 12 February 2022; </t>
    </r>
    <r>
      <rPr>
        <sz val="10"/>
        <color rgb="FF000000"/>
        <rFont val="Times New Roman"/>
        <family val="1"/>
        <charset val="204"/>
      </rPr>
      <t>see tab «Moscow prices”)). The price for sazhen’ of firewood was taken for 1670 from Richard Hellie’s database f (</t>
    </r>
    <r>
      <rPr>
        <sz val="10"/>
        <color rgb="FF42413C"/>
        <rFont val="Times New Roman"/>
        <family val="1"/>
        <charset val="204"/>
      </rPr>
      <t>Russia firewood p's 1606-1871</t>
    </r>
    <r>
      <rPr>
        <sz val="10"/>
        <color theme="1"/>
        <rFont val="Times New Roman"/>
        <family val="1"/>
        <charset val="204"/>
      </rPr>
      <t xml:space="preserve"> // </t>
    </r>
    <r>
      <rPr>
        <sz val="10"/>
        <color rgb="FF000000"/>
        <rFont val="Times New Roman"/>
        <family val="1"/>
        <charset val="204"/>
      </rPr>
      <t xml:space="preserve">Global Price and Income History Group: </t>
    </r>
    <r>
      <rPr>
        <sz val="10"/>
        <color theme="1"/>
        <rFont val="Times New Roman"/>
        <family val="1"/>
        <charset val="204"/>
      </rPr>
      <t>http://gpih.ucdavis.edu/Datafilelist.htm</t>
    </r>
    <r>
      <rPr>
        <u/>
        <sz val="10"/>
        <color rgb="FF0000FF"/>
        <rFont val="Times New Roman"/>
        <family val="1"/>
        <charset val="204"/>
      </rPr>
      <t xml:space="preserve"> Accessed 12 February 2022</t>
    </r>
    <r>
      <rPr>
        <sz val="10"/>
        <color rgb="FF000000"/>
        <rFont val="Times New Roman"/>
        <family val="1"/>
        <charset val="204"/>
      </rPr>
      <t>). We believe that Hellie refer to pogonnaia sazhen’ of 0,53 m width. This type of firewood measure can be considered as 0,25 of fathom sazhen’ that is used in our database (Elena I. Kamenthseva, Nikolai V. Ustiugov, Russkaia Metrologiia [Russian Methrology] (M.: Vysshaia Shkola, 1965), 126).</t>
    </r>
  </si>
  <si>
    <t>Номинал кирпичники</t>
  </si>
  <si>
    <t>индекс кирпичники</t>
  </si>
  <si>
    <t>Unskilled labor</t>
  </si>
  <si>
    <t>1720s</t>
  </si>
  <si>
    <t>1730s</t>
  </si>
  <si>
    <t>1740s</t>
  </si>
  <si>
    <t>1750s</t>
  </si>
  <si>
    <t>1760s</t>
  </si>
  <si>
    <t>1770s</t>
  </si>
  <si>
    <t>1780s</t>
  </si>
  <si>
    <t>1790s</t>
  </si>
  <si>
    <t>Daily wages of construction low skilled workers in Saint Petersburg</t>
  </si>
  <si>
    <t>Average Unskilled labor nominal</t>
  </si>
  <si>
    <t>Daily wages of unskilled construction laborers in Moscow</t>
  </si>
  <si>
    <t>Daily wages of semiskilled construction laborers in Moscow</t>
  </si>
  <si>
    <t>semiskilled</t>
  </si>
  <si>
    <t>bricklayers</t>
  </si>
  <si>
    <t>London</t>
  </si>
  <si>
    <t>Florence</t>
  </si>
  <si>
    <t>Beijing</t>
  </si>
  <si>
    <t>Gdansk</t>
  </si>
  <si>
    <t>Krakow</t>
  </si>
  <si>
    <t>Moscow</t>
  </si>
  <si>
    <t>costs of firewood (Kubicheskaya sazhen)</t>
  </si>
  <si>
    <t>comments</t>
  </si>
  <si>
    <t>soap calculated as a relation to soap to cloth in 1738</t>
  </si>
  <si>
    <t>sources</t>
  </si>
  <si>
    <t>RGADA. F. 1290. Op. 3. D. 13.</t>
  </si>
  <si>
    <t>RGADA. F. 1290. Op. 3. D. 19.</t>
  </si>
  <si>
    <t>RGADA. F. 1290. Op. 3. D. 22.</t>
  </si>
  <si>
    <t>RGADA. F. 1290. Op. 3. d. 35.</t>
  </si>
  <si>
    <t>Замечания к таблицам, показывающим цены нужнейшим съестным припасам в Москве с 1782 по 1823</t>
  </si>
  <si>
    <t>Замечания к таблицам, показывающим цены нужнейшим съестным припасам в Москве с 1782 по 1834</t>
  </si>
  <si>
    <t>Замечания к таблицам, показывающим цены нужнейшим съестным припасам в Москве с 1782 по 1836</t>
  </si>
  <si>
    <t>Замечания к таблицам, показывающим цены нужнейшим съестным припасам в Москве с 1782 по 1844</t>
  </si>
  <si>
    <t>Московские ведомости</t>
  </si>
  <si>
    <t>Московские ведомости 1805</t>
  </si>
  <si>
    <t>Московские ведомости, 1767, ч.1, 10 апреля, № 29, Прибавление</t>
  </si>
  <si>
    <t>Московские ведомости, 1767, ч.1, 29 июня, № 52, Прибавление</t>
  </si>
  <si>
    <t>Московские ведомости, 1767, ч.2, 14 августа, № 65, Прибавление</t>
  </si>
  <si>
    <t>Московские ведости</t>
  </si>
  <si>
    <t>РГАДА ф. 12041.д. 19338</t>
  </si>
  <si>
    <t>РГАДА, Ф. 1290. оп. 3. д. 51 Книга прихода и расхода денег по Московской канцелярии 1801 год</t>
  </si>
  <si>
    <t>РГАДА. Ф. 1204. оп. 1. д. 19279</t>
  </si>
  <si>
    <t>РГАДА. Ф. 1204. оп. 1. д. 19281</t>
  </si>
  <si>
    <t>РГАДА. Ф. 1204. оп. 1. д. 19298</t>
  </si>
  <si>
    <t>РГАДА. Ф. 1204. оп. 1. д. 19300</t>
  </si>
  <si>
    <t>РГАДА. Ф. 1204. оп. 1. д. 19303</t>
  </si>
  <si>
    <t>РГАДА. Ф. 1204. оп. 1. д. 19305</t>
  </si>
  <si>
    <t>РГАДА. Ф. 1204. оп. 1. д. 19307</t>
  </si>
  <si>
    <t>РГАДА. Ф. 1204. оп. 1. д. 19309</t>
  </si>
  <si>
    <t>РГАДА. Ф. 1204. оп. 1. д. 19311</t>
  </si>
  <si>
    <t>РГАДА. Ф. 1204. оп. 1. д. 19312</t>
  </si>
  <si>
    <t>РГАДА. Ф. 1204. оп. 1. д. 19314</t>
  </si>
  <si>
    <t>РГАДА. Ф. 1204. оп. 1. д. 19317</t>
  </si>
  <si>
    <t>РГАДА. Ф. 1204. оп. 1. д. 19319</t>
  </si>
  <si>
    <t>РГАДА. Ф. 1204. оп. 1. д. 19321</t>
  </si>
  <si>
    <t>РГАДА. Ф. 1204. Оп. 1. Д. 19343</t>
  </si>
  <si>
    <t>РГАДА. Ф. 1204. Оп. 1. Д. 19353</t>
  </si>
  <si>
    <t>РГАДА. Ф. 1263. оп. 1. д.6108</t>
  </si>
  <si>
    <t>РГАДА. Ф. 1263. оп. 2. д. 34</t>
  </si>
  <si>
    <t>РГАДА. Ф. 1290. оп. 3. д. 42Денежные ведомости по Московской канцелярии 1800</t>
  </si>
  <si>
    <t>РГАДА. Ф. 1290. оп. 3. ед. хр. 50 Книга прихода и расхода денег по Московской канцелярии 1801 год</t>
  </si>
  <si>
    <t>РГАДА. Ф. 237. оп. 1 д. 194</t>
  </si>
  <si>
    <t>РГАДА. Ф. 280. оп. 6. д. 978</t>
  </si>
  <si>
    <t>Розанов История московского епрах управления</t>
  </si>
  <si>
    <t>Тихонов Ю.А. Мир вещей и московских и петербургских... М., 2008</t>
  </si>
  <si>
    <t>https://lib-fond.ru/lib-cgam/421/f-421-op-1-1575/</t>
  </si>
  <si>
    <t>https://lib-fond.ru/lib-cgam/421/f-421-op-1-2187/#image-3</t>
  </si>
  <si>
    <t xml:space="preserve">RGADA, f. 310, op.1., d., </t>
  </si>
  <si>
    <t>RGADA. F. 1290. Op. 3. d. 63.</t>
  </si>
  <si>
    <t>TsGAM, f. 421, op. 1, d. 1300</t>
  </si>
  <si>
    <t>TsGAM, f. 421, op. 1, d. 1359</t>
  </si>
  <si>
    <t>Замечания к таблицам, показывающим цены нужнейшим съестным припасам в Москве с 1782 по 1827</t>
  </si>
  <si>
    <t>Замечания к таблицам, показывающим цены нужнейшим съестным припасам в Москве с 1782 по 1837</t>
  </si>
  <si>
    <t>Замечания к таблицам, показывающим цены нужнейшим съестным припасам в Москве с 1782 по 1839</t>
  </si>
  <si>
    <t>Московские ведомости 1801</t>
  </si>
  <si>
    <t>РГАДА. Ф. 1204. оп. 1. д. 19271</t>
  </si>
  <si>
    <t>РГАДА. Ф. 1204. оп. 1. д. 19273</t>
  </si>
  <si>
    <t>РГАДА. Ф. 1204. оп. 1. д. 19276</t>
  </si>
  <si>
    <t>РГАДА. Ф. 1204. оп. 1. д. 19299</t>
  </si>
  <si>
    <t>РГАДА. Ф. 1204. оп. 1. д. 19315</t>
  </si>
  <si>
    <t>РГАДА. Ф. 1204. оп. 1. д. 19324</t>
  </si>
  <si>
    <t>РГАДА. Ф. 237. оп. 1 д. 181</t>
  </si>
  <si>
    <t>РГАДА. Ф. 280. оп. 6 д. 114</t>
  </si>
  <si>
    <t>РГАДА. Ф. 280. оп. 6 д. 32</t>
  </si>
  <si>
    <t>РГАДА. Ф. 280. оп. 6. д. 1461</t>
  </si>
  <si>
    <t>РГАДА. Ф. 280. оп. 6. д. 3150</t>
  </si>
  <si>
    <t>РГАДА. Ф. 280. оп. 6. л. 335</t>
  </si>
  <si>
    <t>https://lib-fond.ru/lib-cgam/421/f-421-op-1-162/#image-6</t>
  </si>
  <si>
    <t>https://lib-fond.ru/lib-cgam/421/f-421-op-1-2285/#image-4</t>
  </si>
  <si>
    <t>RGADA, f, 1191, op. 1, d 207</t>
  </si>
  <si>
    <t>RGADA, f. 1191, op. 1, d. 139.</t>
  </si>
  <si>
    <t>RGADA, f. 1191, op. 1, d. 140.</t>
  </si>
  <si>
    <t>RGADA, f., 1184, op. 1, d. 206</t>
  </si>
  <si>
    <t>TsGAM, f. 421, op. 1, d. 1299</t>
  </si>
  <si>
    <t>РГАДА. Ф. 1204. Д. 19341</t>
  </si>
  <si>
    <t>РГАДА. Ф. 1204. оп. 1. д. 19270</t>
  </si>
  <si>
    <t>РГАДА. Ф. 1204. оп. 1. д. 19272</t>
  </si>
  <si>
    <t>РГАДА. Ф. 1204. оп. 1. д. 19277</t>
  </si>
  <si>
    <t xml:space="preserve">РГАДА. Ф. 1263. Оп. 2. д. 32 </t>
  </si>
  <si>
    <t>РГАДА. Ф. 1263. оп. 2. д. 33</t>
  </si>
  <si>
    <t>РГАДА. Ф. 280. оп. 18. Д. 52</t>
  </si>
  <si>
    <t>РГАДА. Ф. 280. оп. 5. д. 81</t>
  </si>
  <si>
    <t>РГАДА. Ф. 280. оп. 6. д. 1467</t>
  </si>
  <si>
    <t>РГАДА. Ф. 280. оп. 6. д. 1966</t>
  </si>
  <si>
    <t>РГАДА. Ф. 292. оп. 1 кн. 4</t>
  </si>
  <si>
    <t>РГАДА. Ф. 292. оп. 1. кн. 13</t>
  </si>
  <si>
    <t>(blank)</t>
  </si>
  <si>
    <t xml:space="preserve">RGADA, f. 1183, op. 1, 1746, d. 76 </t>
  </si>
  <si>
    <t>Кафенгауз</t>
  </si>
  <si>
    <t>Милов</t>
  </si>
  <si>
    <t>Милов одежда</t>
  </si>
  <si>
    <t>РГАДА. Ф, 1204. оп.1 . Д. 19269</t>
  </si>
  <si>
    <t>РГАДА. Ф. 1204. оп. 1. д. 19289</t>
  </si>
  <si>
    <t>РГАДА. Ф. 1204. оп. 1. д. 199</t>
  </si>
  <si>
    <t>РГАДА. Ф. 237. оп. 1 д. 184</t>
  </si>
  <si>
    <t>РГАДА. Ф. 237. оп. 1 д. 186</t>
  </si>
  <si>
    <t>РГАДА. Ф. 280. оп. 15. Д. 207</t>
  </si>
  <si>
    <t>РГАДА. Ф. 280. оп. 6. д. 1961</t>
  </si>
  <si>
    <t>https://lib-fond.ru/lib-cgam/421/f-421-op-1-223/</t>
  </si>
  <si>
    <t>https://lib-fond.ru/lib-cgam/421/f-421-op-1-2467/#image-19</t>
  </si>
  <si>
    <t>RGADA, f. 1181, op. 1, 1766, d. 396</t>
  </si>
  <si>
    <t>RGADA, f., 1184, op. 1, d. 189</t>
  </si>
  <si>
    <t>РГАДА ф. 1239. оп. 3 .д. 58948</t>
  </si>
  <si>
    <t>РГАДА ф. 1239. оп. 3 .д. 59197</t>
  </si>
  <si>
    <t>РГАДА, Ф, 24. оп.1 . Д. 93 л. 15</t>
  </si>
  <si>
    <t>РГАДА. Ф. 1204. оп. 1. д. 166</t>
  </si>
  <si>
    <t>РГАДА. Ф. 1204. оп. 1. д. 19294</t>
  </si>
  <si>
    <t>РГАДА. Ф. 280. оп. 6. д. 3146</t>
  </si>
  <si>
    <t>https://lib-fond.ru/lib-cgam/421/f-421-op-1-1433/#image-5</t>
  </si>
  <si>
    <t>RGADA, f. 16, op. 1., d. 582 ch. 1.</t>
  </si>
  <si>
    <t>Замечания к таблицам, показывающим цены нужнейшим съестным припасам в Москве с 1782 по 1830</t>
  </si>
  <si>
    <t>Замечания к таблицам, показывающим цены нужнейшим съестным припасам в Москве с 1782 по 1840</t>
  </si>
  <si>
    <t>Замечания к таблицам, показывающим цены нужнейшим съестным припасам в Москве с 1782 по 1842</t>
  </si>
  <si>
    <t>Миронов</t>
  </si>
  <si>
    <t>РГАДА ф. 248. оп. 7 .д. 386</t>
  </si>
  <si>
    <t>РГАДА. Ф. 248. оа. 111. д. 778</t>
  </si>
  <si>
    <t>РГАДА. Ф. 248. оа. 111. д. 780</t>
  </si>
  <si>
    <t>РГАДА. Ф. 248. оп. 111. д. 56 л. 43</t>
  </si>
  <si>
    <t>РГАДА. Ф. 248. оп. 111. д. 81, л. 143 об</t>
  </si>
  <si>
    <t>РГАДА. Ф. 248. оп. 111. д. 881</t>
  </si>
  <si>
    <t>РГАДА. Ф. 248. оп. 111. д. 98 л. 24 об</t>
  </si>
  <si>
    <t>РГАДА. Ф. 248. оп. 111. д. 98 л. 40 об</t>
  </si>
  <si>
    <t>РГАДА. Ф. 248. оп. 112. д. 217</t>
  </si>
  <si>
    <t>РГАДА. Ф. 248. оп. 112. д. 222</t>
  </si>
  <si>
    <t>РГАДА. Ф. 280. оп. 6 д. 34</t>
  </si>
  <si>
    <t>РГАДА. Ф. 291. оп. 1. д. 14666</t>
  </si>
  <si>
    <t>Яковцевский</t>
  </si>
  <si>
    <t>https://lib-fond.ru/lib-cgam/421/f-421-op-1-2460/#image-5</t>
  </si>
  <si>
    <t>Историческое описание Москвы в 1811 году</t>
  </si>
  <si>
    <t>РГАДА. Ф. 1204. Д. 19342</t>
  </si>
  <si>
    <t>РГАДА. Ф. 1204. оп. 1. д. 142</t>
  </si>
  <si>
    <t>РГАДА. Ф. 280. оп. 6 д. 374</t>
  </si>
  <si>
    <t>РГАДА. Ф. 1204. оп. 1. д. 167</t>
  </si>
  <si>
    <t>RGADA f 1261 op 12 d 100</t>
  </si>
  <si>
    <t>blacksmith</t>
  </si>
  <si>
    <t>bricklayer</t>
  </si>
  <si>
    <t>brickmaker</t>
  </si>
  <si>
    <t>carpenter</t>
  </si>
  <si>
    <t>labourer</t>
  </si>
  <si>
    <t>oven maker</t>
  </si>
  <si>
    <t>Row Labels</t>
  </si>
  <si>
    <t>daily/weekly and monthly</t>
  </si>
  <si>
    <t>obs</t>
  </si>
  <si>
    <t>Total</t>
  </si>
  <si>
    <t>male</t>
  </si>
  <si>
    <t>construction</t>
  </si>
  <si>
    <t>Borisov calculated</t>
  </si>
  <si>
    <t>F. 16. Op. 1. D. 482. l. 129 ob.</t>
  </si>
  <si>
    <t>F. 16. Op. 1. D. 482. l. 131</t>
  </si>
  <si>
    <t>F. 16. Op. 1. D. 482. l. 135 ob.</t>
  </si>
  <si>
    <t>F. 16. Op. 1. D. 482. l. 135-135 ob.</t>
  </si>
  <si>
    <t>https://lib-fond.ru/lib-cgam/421/f-421-op-1-1384/</t>
  </si>
  <si>
    <t>https://lib-fond.ru/lib-cgam/421/f-421-op-1-2208/</t>
  </si>
  <si>
    <t>Nikolaeva 1, p. 122</t>
  </si>
  <si>
    <t>PSZ</t>
  </si>
  <si>
    <t>RGADA op 1 d 42</t>
  </si>
  <si>
    <t>RGADA op 1 d 44</t>
  </si>
  <si>
    <t>RGADA, f. 1191, op. 1, d. 216, l. 23</t>
  </si>
  <si>
    <t>RGADA, f. 1191, op. 1, d. 216, l. 24</t>
  </si>
  <si>
    <t>RGADA, f. 1191, op. 1, d. 216, l. 48</t>
  </si>
  <si>
    <t>RGADA, f. 1263, op. 2, d. 34, l. 100</t>
  </si>
  <si>
    <t>RGADA, f. 1263, op. 2, d. 34, l. 98 ob.,99</t>
  </si>
  <si>
    <t>RGADA, f. 1263, op. 2, d. 34, l. 99</t>
  </si>
  <si>
    <t>RGADA, f. 1263, op. 2, d. 34, l. 99, 100  ob.</t>
  </si>
  <si>
    <t>RGADA, f. 16, op. 1, d. 582, part 1, l. 128 - 129</t>
  </si>
  <si>
    <t>RGADA, f. 16, op. 1, d. 582, part 1, l. 129 ob.</t>
  </si>
  <si>
    <t>RGADA, f. 16, op. 1, d. 582, part 1, l. 131</t>
  </si>
  <si>
    <t>RGADA, f. 16, op. 1, d. 582, part 1, l. 135 ob.</t>
  </si>
  <si>
    <t>RGADA, f. 16, op. 1, d. 582, part 1, l. 135-135 ob.</t>
  </si>
  <si>
    <t>RGADA, f. 16, op. 1. d. 482, l. 128 - 129</t>
  </si>
  <si>
    <t>RGADA, f. 310, op. 1, d. 1571. l.32</t>
  </si>
  <si>
    <t>RGADA. F. 1290. Op. 3. D. 22. p. 22.</t>
  </si>
  <si>
    <t>RGADA. F.1204. Op. 1. D. 19279. P. 121ob.</t>
  </si>
  <si>
    <t>RGADA. F.1204. Op. 1. D. 19279. P. 124ob.</t>
  </si>
  <si>
    <t>RGADA. F.1204. Op. 1. D. 19279. P. 126ob.</t>
  </si>
  <si>
    <t>RGADA. F.1204. Op. 1. D. 19279. P. 127ob.–128.</t>
  </si>
  <si>
    <t>RGADA. F.1204. Op. 1. D. 19279. P. 129.</t>
  </si>
  <si>
    <t>RGADA. F.1204. Op. 1. D. 19279. P. 130.</t>
  </si>
  <si>
    <t>RGADA. F.1204. Op. 1. D. 19279. P. 131–131ob.</t>
  </si>
  <si>
    <t>RGADA. F.1204. Op. 1. D. 19279. P. 132.</t>
  </si>
  <si>
    <t>RGADA. F.1204. Op. 1. D. 19279. P. 133ob.</t>
  </si>
  <si>
    <t>RGADA. F.1204. Op. 1. D. 19279. P. 71–71ob.</t>
  </si>
  <si>
    <t>RGADA. F.1204. Op. 1. D. 19279. P. 73ob.</t>
  </si>
  <si>
    <t>RGADA. F.1204. Op. 1. D. 19279. P. 74ob.</t>
  </si>
  <si>
    <t>RGADA. F.1204. Op. 1. D. 19279. P. 77–77ob.</t>
  </si>
  <si>
    <t>RGADA. F.1204. Op. 1. D. 19279. P. 78ob.</t>
  </si>
  <si>
    <t>RGADA. F.1204. Op. 1. D. 19279. P. 80.</t>
  </si>
  <si>
    <t>RGADA. F.1204. Op. 1. D. 19279. P. 80ob.</t>
  </si>
  <si>
    <t>RGADA. F.1204. Op. 1. D. 19279. P. 84.</t>
  </si>
  <si>
    <t>RGADA. F.1204. Op. 1. D. 19279. P. 86ob.</t>
  </si>
  <si>
    <t>RGADA. F.1204. Op. 1. D. 19279. P. 91.</t>
  </si>
  <si>
    <t>TsGAM, f. 421, op. 1, d. 3506, l. 14 - 15 ob. ;</t>
  </si>
  <si>
    <t>TsGAM, f. 421, op. 1, d. 3506, l. 4 - 7 ob. ;</t>
  </si>
  <si>
    <t>Калинин диссер с. 114</t>
  </si>
  <si>
    <t>Калинин диссер с. 97</t>
  </si>
  <si>
    <t>Московские Ведомости, 1800 год, №54, 55</t>
  </si>
  <si>
    <t>Никита В. Воронов. Московские кирпичные заводы в XVIII веке. Дисс. … канд. ист. наук, т. 2. (М., 1957), с. 460)</t>
  </si>
  <si>
    <t>ПСЗ 13256</t>
  </si>
  <si>
    <t>РГАДА Ф. 1261. оп. 12. д. 88</t>
  </si>
  <si>
    <t>РГАДА, Ф, 1263. оп. 1. д. 6224. л. 1</t>
  </si>
  <si>
    <t>РГАДА, Ф, 237. оп. 1 д. 181</t>
  </si>
  <si>
    <t>РГАДА. Ф, 280. оп. 6. 3172</t>
  </si>
  <si>
    <t>РГАДА. Ф. 1204. оп. 1. д. 199, л. 58 об</t>
  </si>
  <si>
    <t>РГАДА. Ф. 1204. оп.1 . Д. 19279</t>
  </si>
  <si>
    <t>РГАДА. Ф. 1204. оп.1 . Д. 19281</t>
  </si>
  <si>
    <t>РГАДА. Ф. 1204. оп.1 . Д. 19284</t>
  </si>
  <si>
    <t>РГАДА. Ф. 1204. оп.1 . Д. 19286</t>
  </si>
  <si>
    <t>РГАДА. Ф. 1204. оп.1 . Д. 19297</t>
  </si>
  <si>
    <t>РГАДА. Ф. 1204. оп.1 . Д. 19298</t>
  </si>
  <si>
    <t>РГАДА. Ф. 1204. оп.1 . Д. 19299</t>
  </si>
  <si>
    <t>РГАДА. Ф. 1204. оп.1 . Д. 19301</t>
  </si>
  <si>
    <t xml:space="preserve">РГАДА. Ф. 1261. Оп. 12. Д. 88. Л. 11. </t>
  </si>
  <si>
    <t>РГАДА. Ф. 1263. оп. 1. д. 6440 л. 9</t>
  </si>
  <si>
    <t>РГАДА. Ф. 280. оп. 5. д. 108</t>
  </si>
  <si>
    <t>РГАДА. Ф. 280. оп. 6 д. 32 л. 28 об</t>
  </si>
  <si>
    <t>РГАДА. Ф. 292. оп. 1. кн. 11 л. 107-108</t>
  </si>
  <si>
    <t>РГАДА. Ф. 292. оп. 1. кн. 11 л. 14</t>
  </si>
  <si>
    <t>РГАДА. Ф. 292. оп. 1. кн. 11 л. 152</t>
  </si>
  <si>
    <t>РГАДА. Ф. 292. оп. 1. кн. 11 л. 160 об</t>
  </si>
  <si>
    <t>РГАДА. Ф. 292. оп. 1. кн. 11 л. 161</t>
  </si>
  <si>
    <t>РГАДА. Ф. 292. оп. 1. кн. 13 л. 77</t>
  </si>
  <si>
    <t>РГАДА. Ф. 292. оп. 1. кн. 13 л. 79</t>
  </si>
  <si>
    <t>РГАДА. Ф. 292. оп. 1. кн. 13 л. 95</t>
  </si>
  <si>
    <t>РГАДА. Ф. 292. оп. 1. кн. 15 л. 198</t>
  </si>
  <si>
    <t>РГАДА. Ф. 292. оп. 1. кн. 4 л. 559</t>
  </si>
  <si>
    <t>РГАДА. Ф. 297. оп. 1. д. 1067, л. 79 об</t>
  </si>
  <si>
    <t>РГАДА. Ф. 297. оп. 1. д. 1068, л. 118 об</t>
  </si>
  <si>
    <t>skilled labour</t>
  </si>
  <si>
    <t>daily wage</t>
  </si>
  <si>
    <t>skilled labour (daily wages in rubles)</t>
  </si>
  <si>
    <t>ratio for unskilled labour</t>
  </si>
  <si>
    <t>ratio for skilled labour</t>
  </si>
  <si>
    <t>England</t>
  </si>
  <si>
    <t>how many days need unskilled to work to earn subsistence</t>
  </si>
  <si>
    <t>how many days skilled</t>
  </si>
  <si>
    <t>Moscow unskilled</t>
  </si>
  <si>
    <t>Moscow skilled</t>
  </si>
  <si>
    <t>Years</t>
  </si>
  <si>
    <t>Cash expenses of a household and expenses on accommodation in Moscow (rubles)</t>
  </si>
  <si>
    <t>calculated income of a seasonal unskilled labourer for 150 working days (rubles)</t>
  </si>
  <si>
    <t>Income/expenses</t>
  </si>
  <si>
    <t>1762 – 1766</t>
  </si>
  <si>
    <t>1772 – 1776</t>
  </si>
  <si>
    <t>1777 – 1781</t>
  </si>
  <si>
    <t>1782 – 1785</t>
  </si>
  <si>
    <t>1789 – 1793</t>
  </si>
  <si>
    <t xml:space="preserve">1794 - 1797 </t>
  </si>
  <si>
    <r>
      <t xml:space="preserve">The comparison of calculated income of seasonal unskilled </t>
    </r>
    <r>
      <rPr>
        <b/>
        <sz val="12"/>
        <color rgb="FF212121"/>
        <rFont val="Times New Roman"/>
        <family val="1"/>
      </rPr>
      <t>labourer</t>
    </r>
    <r>
      <rPr>
        <b/>
        <sz val="12"/>
        <color theme="1"/>
        <rFont val="Times New Roman"/>
        <family val="1"/>
      </rPr>
      <t xml:space="preserve"> and cash expenses of a household of five people (Rzhev)</t>
    </r>
  </si>
  <si>
    <t>The average costs of basket (Mironov’s data) (in rubles)</t>
  </si>
  <si>
    <t>The average costs of basket (our data) (in rubles)</t>
  </si>
  <si>
    <t>Difference (%)</t>
  </si>
  <si>
    <t>1710s</t>
  </si>
  <si>
    <t>1800s</t>
  </si>
  <si>
    <t>1810s</t>
  </si>
  <si>
    <t>silver per rouble</t>
  </si>
  <si>
    <t>bare bone basket in silver</t>
  </si>
  <si>
    <t>gramms of cilver in one ruble</t>
  </si>
  <si>
    <t>in silver</t>
  </si>
  <si>
    <t>I am taking 1 kg of rye flour and assuming that from 1 chetvert of rye there will be 147 kg of rye see http://annales.info/rus/small/pitanie.htm</t>
  </si>
  <si>
    <t>the costs of barebone basket (roubles)</t>
  </si>
  <si>
    <t>the cost of bare bone basket (silver)</t>
  </si>
  <si>
    <t>my prices for food from Moscow vedomosry</t>
  </si>
  <si>
    <t>Labourer</t>
  </si>
  <si>
    <t>blacksmith (roubles</t>
  </si>
  <si>
    <t>blacksmith (silver)</t>
  </si>
  <si>
    <t>bricklayer (roubles)</t>
  </si>
  <si>
    <t>bricklayer (in silver)</t>
  </si>
  <si>
    <t>brickmaker (roubles)</t>
  </si>
  <si>
    <t>brickmaker (silver)</t>
  </si>
  <si>
    <t>carpenter (roubles)</t>
  </si>
  <si>
    <t>carpenter (silver)</t>
  </si>
  <si>
    <t>labourer (roubles)</t>
  </si>
  <si>
    <t>labourer (silver)</t>
  </si>
  <si>
    <t>Allen and Khaustova for labourers</t>
  </si>
  <si>
    <t>Allen and Khaustova for carpenters</t>
  </si>
  <si>
    <t>data from the sheet 'subsistence for Moscow silver AK'</t>
  </si>
  <si>
    <t>labourer (nominal wage)</t>
  </si>
  <si>
    <t>semi-skilled labour (nominal wages)</t>
  </si>
  <si>
    <t>semi-skilled labour (silver)</t>
  </si>
  <si>
    <t>data from 'wages for Moscow in silver with AK'</t>
  </si>
  <si>
    <t xml:space="preserve">RGADA, f. 237, op. 1, d. 181; f. 280, op. 6, d. 3172, 3356; f. 1204, op. 1, d. 199, 19303, 19305, 19311, 19312, 19314, 19315, 19317, 19319, 19324, 19279, 19281, 19284, 19286, 19297, 19298, 19299, 19301, 19377; f. 1263, op. 1, d. 6440; f. 280, op. 5, d. 108; f. 292, op. 1, kn. 4, 11, 13, 15; f. 297, op. 1, d. 1067, 1068. </t>
  </si>
  <si>
    <t>skilled labour daily wages</t>
  </si>
  <si>
    <t>labourer daily wages</t>
  </si>
  <si>
    <t>Welfare ratio for skilled</t>
  </si>
  <si>
    <t xml:space="preserve">welfare ratio for unskilled </t>
  </si>
  <si>
    <t>Welfare ratio Allen Khaustova unskilled</t>
  </si>
  <si>
    <t>Welfare ratio Allen Khaustova skilled</t>
  </si>
  <si>
    <t>1751 - 1775</t>
  </si>
  <si>
    <t>1776 - 1800</t>
  </si>
  <si>
    <t>Jamaica</t>
  </si>
  <si>
    <t>number of days to earn subsistence for skilled labour</t>
  </si>
  <si>
    <t>number of days to earn subsistence for unskilled labour</t>
  </si>
  <si>
    <t>Welfare ratio of skilled</t>
  </si>
  <si>
    <t xml:space="preserve">welfare ratio of unskilled </t>
  </si>
  <si>
    <t>Welfare ratio of skilled (Allen Khaustova)</t>
  </si>
  <si>
    <t>Welfare ratio of unskilled (Allen Khaustova)</t>
  </si>
  <si>
    <t>Milan</t>
  </si>
  <si>
    <t>Genova</t>
  </si>
  <si>
    <t>Venice</t>
  </si>
  <si>
    <t>the costs of subsistence basket</t>
  </si>
  <si>
    <t>Age</t>
  </si>
  <si>
    <t>People in household</t>
  </si>
  <si>
    <t>Salary</t>
  </si>
  <si>
    <t>For clothes</t>
  </si>
  <si>
    <t>For food</t>
  </si>
  <si>
    <t>Occupation</t>
  </si>
  <si>
    <t>Mavra Chenysheva</t>
  </si>
  <si>
    <t>Nurse</t>
  </si>
  <si>
    <t>Andrei Smirnov</t>
  </si>
  <si>
    <t>under-tutor</t>
  </si>
  <si>
    <t>Mitrofan Rodionov</t>
  </si>
  <si>
    <t>Valet</t>
  </si>
  <si>
    <t>Ivan Gusarev</t>
  </si>
  <si>
    <t>Hairdresser</t>
  </si>
  <si>
    <t>Fedor Beliaev</t>
  </si>
  <si>
    <t>Mikhailo Bashmachnikov</t>
  </si>
  <si>
    <t>teacher’s assistant</t>
  </si>
  <si>
    <t>Afanasii Ukrainian boy</t>
  </si>
  <si>
    <t>a boy</t>
  </si>
  <si>
    <t>Ivan Kiselev</t>
  </si>
  <si>
    <t>Dmitrii Evstifiev</t>
  </si>
  <si>
    <t>watchmen of the chancellery and their wives who work as laundresses</t>
  </si>
  <si>
    <t xml:space="preserve"> Wife of Dmitrii Evstifiev</t>
  </si>
  <si>
    <t>Fedor, son of Dmitrii Evstifiev</t>
  </si>
  <si>
    <t>Leontii Stepanov</t>
  </si>
  <si>
    <t>Wife of Leontii Stepanov</t>
  </si>
  <si>
    <t xml:space="preserve">Pension for former nurse Anna </t>
  </si>
  <si>
    <t xml:space="preserve"> Chief of the chancellery Semen Smirnov </t>
  </si>
  <si>
    <t>Chief of the chancellery from simskie household serfs</t>
  </si>
  <si>
    <t>Semen’s wife</t>
  </si>
  <si>
    <t>Three sons of Semen</t>
  </si>
  <si>
    <t>Nikita Golubev</t>
  </si>
  <si>
    <t>a scribe</t>
  </si>
  <si>
    <t>Avram Podkatov</t>
  </si>
  <si>
    <t>Semen Zolotarev</t>
  </si>
  <si>
    <t>on errand</t>
  </si>
  <si>
    <t>Mikhail Balashev</t>
  </si>
  <si>
    <t>Larion Mizintsev</t>
  </si>
  <si>
    <t>a horseman</t>
  </si>
  <si>
    <t>Arefei Bychkov</t>
  </si>
  <si>
    <t>Stepan Sokolov</t>
  </si>
  <si>
    <t>Wife of Stepan Sokolov</t>
  </si>
  <si>
    <t>Ivan, son of Stepan Sokolov</t>
  </si>
  <si>
    <t>Gavrilo,  son of Stepan Sokolov</t>
  </si>
  <si>
    <t>Egor Sadovoi</t>
  </si>
  <si>
    <t>Afanas’ev Klim</t>
  </si>
  <si>
    <t>Iakov Lebedev</t>
  </si>
  <si>
    <t>a watchman and a gardener’s pupil</t>
  </si>
  <si>
    <t>Nikolai Rychagov</t>
  </si>
  <si>
    <t>a cook’s pupil</t>
  </si>
  <si>
    <t>Evdokim Pil’shchikov</t>
  </si>
  <si>
    <t>janitor for the backyard</t>
  </si>
  <si>
    <t>Wife of Evdokim Pil’shchikov</t>
  </si>
  <si>
    <t>Karp Zelentsov, widowed</t>
  </si>
  <si>
    <t>Fedor Samoilov</t>
  </si>
  <si>
    <t>old-aged [retired]</t>
  </si>
  <si>
    <t>Wife of Samoilo Fedorov</t>
  </si>
  <si>
    <t>Fedot Usahev</t>
  </si>
  <si>
    <t>bailiff Andrei Beliaev and his wife</t>
  </si>
  <si>
    <t>bailiff</t>
  </si>
  <si>
    <t>Il’ia Alpat’ev with his wife and daughter</t>
  </si>
  <si>
    <t>Was liberated from serfdom but did not manage to find work because of old age; without occupation</t>
  </si>
  <si>
    <t>Aleksei Ivanovich Menshchikov</t>
  </si>
  <si>
    <t xml:space="preserve"> he is blind and does not see at all</t>
  </si>
  <si>
    <t>Ananii Ermolaev, his wife and two children</t>
  </si>
  <si>
    <t>without occupation; was a footman</t>
  </si>
  <si>
    <t>Anna Ivanovs, wodow with two children</t>
  </si>
  <si>
    <t>her husband was a forester</t>
  </si>
  <si>
    <t xml:space="preserve">Aleksei Nevkin, vice ensign and his wife, </t>
  </si>
  <si>
    <t>lives in a stone house</t>
  </si>
  <si>
    <t>Andrei Ivanov with his wife and daughter</t>
  </si>
  <si>
    <t xml:space="preserve">Former horseman; caretaker </t>
  </si>
  <si>
    <t>Fedorov Ivan with his wife and six children</t>
  </si>
  <si>
    <t>carpenter; caretaker</t>
  </si>
  <si>
    <t>Ivan Nikitin with his wife</t>
  </si>
  <si>
    <t>old horseman</t>
  </si>
  <si>
    <t>Fedor Gusarov with his wife and daughter</t>
  </si>
  <si>
    <t>Vasilii Morozov</t>
  </si>
  <si>
    <t>Il’ia Trofimov Orlov</t>
  </si>
  <si>
    <t>Fedot Tsarev with his wife</t>
  </si>
  <si>
    <t>Received a passport to work outside manor but failed to find work and returned to ask for a pay</t>
  </si>
  <si>
    <t>Mikhail Koz’min with two grandsons</t>
  </si>
  <si>
    <t>old horseman1</t>
  </si>
  <si>
    <t>Vasily Makarov with his wife</t>
  </si>
  <si>
    <t>Semen Akulov with his wife and five children</t>
  </si>
  <si>
    <t xml:space="preserve"> former coachman, church caretaker; his children are learning / training   </t>
  </si>
  <si>
    <t>Aleksei Seliverstov with his wife</t>
  </si>
  <si>
    <t>Was a scribe and now has no occupation</t>
  </si>
  <si>
    <t>Avdot'ia Nikitichna</t>
  </si>
  <si>
    <t>eldery widow</t>
  </si>
  <si>
    <t>Avdot’ia Il’ina</t>
  </si>
  <si>
    <t>Marfa Lavrent’eva</t>
  </si>
  <si>
    <t>Katerina Ivanova</t>
  </si>
  <si>
    <t>’Avdot'ia Borodulina</t>
  </si>
  <si>
    <t>Avdot’ia Dmitrieva Sharnikova</t>
  </si>
  <si>
    <t>four children of Avdot’ia Sharnikova</t>
  </si>
  <si>
    <t xml:space="preserve"> literate</t>
  </si>
  <si>
    <t>widow of Kareshennikov</t>
  </si>
  <si>
    <t>three children of widow. The eldest.</t>
  </si>
  <si>
    <t>literate</t>
  </si>
  <si>
    <t>Stepan Nikitich Proba with his wife and two children</t>
  </si>
  <si>
    <t>shop guard</t>
  </si>
  <si>
    <t xml:space="preserve"> a widow and her son</t>
  </si>
  <si>
    <t>a her husband was a horseman</t>
  </si>
  <si>
    <t>Ivan Ivanov and his wife</t>
  </si>
  <si>
    <t>gardener</t>
  </si>
  <si>
    <t>Maksim Petrov and his son</t>
  </si>
  <si>
    <t>gardener with an eye decease</t>
  </si>
  <si>
    <t>Kalina Kuzmin</t>
  </si>
  <si>
    <t>gardener’s pupil</t>
  </si>
  <si>
    <t>8 people learning to read and to write</t>
  </si>
  <si>
    <t>Gavrilo Il’in</t>
  </si>
  <si>
    <t>teacher</t>
  </si>
  <si>
    <t xml:space="preserve">10 elmsmen  </t>
  </si>
  <si>
    <t>almsmen</t>
  </si>
  <si>
    <t xml:space="preserve">5 women living in alms-house </t>
  </si>
  <si>
    <t>Sergei Fedorov with his wife and daughter</t>
  </si>
  <si>
    <t>Iakov Naumov</t>
  </si>
  <si>
    <t>scribe</t>
  </si>
  <si>
    <t>Boris Bumashkin with his wife</t>
  </si>
  <si>
    <t>not specified</t>
  </si>
  <si>
    <t>widow</t>
  </si>
  <si>
    <t>based on subsistence for Moscow silver AK</t>
  </si>
  <si>
    <t>currency</t>
  </si>
  <si>
    <t>rouble</t>
  </si>
  <si>
    <t>silver</t>
  </si>
  <si>
    <t>5% of rent</t>
  </si>
  <si>
    <t>chetvert</t>
  </si>
  <si>
    <t>unit of measurement</t>
  </si>
  <si>
    <t>pound</t>
  </si>
  <si>
    <t>pood</t>
  </si>
  <si>
    <t>arshin</t>
  </si>
  <si>
    <t>Kubicheskaya sazhen</t>
  </si>
  <si>
    <t>costs of firewood</t>
  </si>
  <si>
    <t>0.26 of sazhen</t>
  </si>
  <si>
    <t>linen cloth</t>
  </si>
  <si>
    <t>tallow candle</t>
  </si>
  <si>
    <t>beef</t>
  </si>
  <si>
    <t>based on the excel spread sheet wages for Moscow in silver AK</t>
  </si>
  <si>
    <t>roubles</t>
  </si>
  <si>
    <t>unskilled labour</t>
  </si>
  <si>
    <t>RGADA, f. 1191, op. 1, d. 216, l. 23, 24, 48</t>
  </si>
  <si>
    <t>RGADA, f. 1263, op. 2, d. 34, l. 100, 98, 99</t>
  </si>
  <si>
    <t>RGADA, f. 16, op. 1, d. 582, part 1, l. 128 - 129, 129, 131, 135, 133</t>
  </si>
  <si>
    <t>RGADA, F. 16. Op. 1. D. 482. l. 128, 129 ob., 131, 135 ob, 133</t>
  </si>
  <si>
    <t>1800-1825</t>
  </si>
  <si>
    <t>1. Understand the weight relationships:</t>
  </si>
  <si>
    <t>9 poods of grain yields 8 poods of flour (retention of 88%).</t>
  </si>
  <si>
    <t>1 pood = 36.11 lbs.</t>
  </si>
  <si>
    <t>1.35 lbs of raw grain yields 1.19 lbs of flour.</t>
  </si>
  <si>
    <t>2. Calculate the conversion rates:</t>
  </si>
  <si>
    <t>Determine how much flour is produced per pound of raw grain.</t>
  </si>
  <si>
    <t>Calculate how many calories are in 1 kg of flour, and then use the weight of flour to determine the calories per kg of rye.</t>
  </si>
  <si>
    <t>3. Use the provided data:</t>
  </si>
  <si>
    <t>1.78 lbs of rye bread = 1828 kcal.</t>
  </si>
  <si>
    <t>The weight of flour used to make the bread and the relationship between flour and rye bread.</t>
  </si>
  <si>
    <t>Steps for Calculation</t>
  </si>
  <si>
    <t>1. Calculate the weight conversion from poods to lbs:</t>
  </si>
  <si>
    <t>9 poods of grain = 9 × 36.11 lbs.</t>
  </si>
  <si>
    <t>8 poods of flour = 8 × 36.11 lbs.</t>
  </si>
  <si>
    <t>2. Calculate the calories in 1 lb of flour:</t>
  </si>
  <si>
    <t>From the provided data, find how many lbs of flour are used to produce 1.78 lbs of rye bread.</t>
  </si>
  <si>
    <t>3. Calculate calories per kg of rye:</t>
  </si>
  <si>
    <t>Step 1: Calculate Pood to Pounds Conversion</t>
  </si>
  <si>
    <t>Weight of grain (in lbs):</t>
  </si>
  <si>
    <t>Weight of grain=9 poods×36.11 lbs/pood\text{Weight of grain} = 9 \text{ poods} \times 36.11 \text{ lbs/pood} Weight of grain=9 poods×36.11 lbs/pood</t>
  </si>
  <si>
    <t>Weight of flour (in lbs):</t>
  </si>
  <si>
    <t>Weight of flour=8 poods×36.11 lbs/pood\text{Weight of flour} = 8 \text{ poods} \times 36.11 \text{ lbs/pood} Weight of flour=8 poods×36.11 lbs/pood</t>
  </si>
  <si>
    <t>Step 2: Calculate Calories per Pound of Flour</t>
  </si>
  <si>
    <t>From the initial information:</t>
  </si>
  <si>
    <r>
      <t>Calories from 1.78 lbs of rye bread:</t>
    </r>
    <r>
      <rPr>
        <sz val="11"/>
        <color theme="1"/>
        <rFont val="Calibri"/>
        <family val="2"/>
        <charset val="204"/>
        <scheme val="minor"/>
      </rPr>
      <t xml:space="preserve"> 1828 kcal</t>
    </r>
  </si>
  <si>
    <t>Flour required to make rye bread:</t>
  </si>
  <si>
    <t>Let’s assume that the weight of flour used is half again that of the flour, so:</t>
  </si>
  <si>
    <t>Weight of flour used=1.19 lbs of flour×1.5\text{Weight of flour used} = 1.19 \text{ lbs of flour} \times 1.5Weight of flour used=1.19 lbs of flour×1.5</t>
  </si>
  <si>
    <t>Step 3: Calculate Calories for 1 kg of Rye</t>
  </si>
  <si>
    <t>Let’s calculate all of these.</t>
  </si>
  <si>
    <r>
      <t xml:space="preserve">The calculated calories per kilogram of rye is approximately </t>
    </r>
    <r>
      <rPr>
        <b/>
        <sz val="11"/>
        <color theme="1"/>
        <rFont val="Calibri"/>
        <family val="2"/>
        <charset val="204"/>
        <scheme val="minor"/>
      </rPr>
      <t>2540 kcal</t>
    </r>
  </si>
  <si>
    <t>g</t>
  </si>
  <si>
    <t>номинальные цены</t>
  </si>
  <si>
    <t>цены в серебре</t>
  </si>
  <si>
    <t>the cost of subsistence basket (rubles)</t>
  </si>
  <si>
    <t>the cost of subsistence basket (silver rubles)</t>
  </si>
  <si>
    <t>100) for both rubles and silver rubles:</t>
  </si>
  <si>
    <t>Cost in Rubles</t>
  </si>
  <si>
    <t>Cost in Silver Rubles</t>
  </si>
  <si>
    <t>Index (Cost in Rubles)</t>
  </si>
  <si>
    <t>Index (Cost in Silver Rubles)</t>
  </si>
  <si>
    <t>subsitence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</si>
</sst>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#,##0.00;[Red]#,##0.00"/>
    <numFmt numFmtId="165" formatCode="0.00;[Red]0.00"/>
    <numFmt numFmtId="166" formatCode="#,##0.0"/>
    <numFmt numFmtId="167" formatCode="0.000;[Red]0.000"/>
    <numFmt numFmtId="168" formatCode="0.0"/>
    <numFmt numFmtId="169" formatCode="0.0000"/>
    <numFmt numFmtId="170" formatCode="#,##0.0000;[Red]#,##0.0000"/>
    <numFmt numFmtId="171" formatCode="0.000000"/>
    <numFmt numFmtId="172" formatCode="0;[Red]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sz val="10"/>
      <color rgb="FF42413C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-Light"/>
      <family val="2"/>
    </font>
    <font>
      <b/>
      <sz val="12"/>
      <color theme="1"/>
      <name val="Times New Roman"/>
      <family val="1"/>
    </font>
    <font>
      <b/>
      <sz val="12"/>
      <color rgb="FF212121"/>
      <name val="Times New Roman"/>
      <family val="1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3.5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/>
    <xf numFmtId="0" fontId="17" fillId="0" borderId="0"/>
    <xf numFmtId="0" fontId="20" fillId="0" borderId="0"/>
    <xf numFmtId="0" fontId="21" fillId="0" borderId="0"/>
    <xf numFmtId="0" fontId="1" fillId="0" borderId="0"/>
    <xf numFmtId="0" fontId="22" fillId="0" borderId="0"/>
  </cellStyleXfs>
  <cellXfs count="225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0" fontId="0" fillId="2" borderId="0" xfId="0" applyFill="1"/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65" fontId="0" fillId="4" borderId="0" xfId="0" applyNumberFormat="1" applyFill="1"/>
    <xf numFmtId="165" fontId="0" fillId="2" borderId="2" xfId="0" applyNumberForma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166" fontId="0" fillId="0" borderId="0" xfId="0" applyNumberFormat="1"/>
    <xf numFmtId="17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12" fontId="0" fillId="0" borderId="1" xfId="0" applyNumberFormat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4" borderId="0" xfId="0" applyNumberFormat="1" applyFill="1"/>
    <xf numFmtId="164" fontId="0" fillId="4" borderId="1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164" fontId="0" fillId="4" borderId="3" xfId="0" applyNumberFormat="1" applyFill="1" applyBorder="1" applyAlignment="1">
      <alignment wrapText="1"/>
    </xf>
    <xf numFmtId="165" fontId="0" fillId="4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8" xfId="0" applyNumberFormat="1" applyBorder="1" applyAlignment="1">
      <alignment wrapText="1"/>
    </xf>
    <xf numFmtId="165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5" fontId="0" fillId="0" borderId="10" xfId="0" applyNumberFormat="1" applyBorder="1" applyAlignment="1">
      <alignment wrapText="1"/>
    </xf>
    <xf numFmtId="4" fontId="0" fillId="0" borderId="0" xfId="0" applyNumberFormat="1"/>
    <xf numFmtId="164" fontId="0" fillId="0" borderId="1" xfId="0" applyNumberFormat="1" applyBorder="1"/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3" borderId="1" xfId="0" applyNumberFormat="1" applyFont="1" applyFill="1" applyBorder="1" applyAlignment="1">
      <alignment wrapText="1"/>
    </xf>
    <xf numFmtId="165" fontId="5" fillId="4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/>
    <xf numFmtId="165" fontId="5" fillId="0" borderId="1" xfId="0" applyNumberFormat="1" applyFont="1" applyBorder="1"/>
    <xf numFmtId="165" fontId="5" fillId="3" borderId="1" xfId="0" applyNumberFormat="1" applyFont="1" applyFill="1" applyBorder="1"/>
    <xf numFmtId="165" fontId="5" fillId="4" borderId="1" xfId="0" applyNumberFormat="1" applyFont="1" applyFill="1" applyBorder="1"/>
    <xf numFmtId="164" fontId="5" fillId="0" borderId="1" xfId="0" applyNumberFormat="1" applyFont="1" applyBorder="1"/>
    <xf numFmtId="165" fontId="0" fillId="2" borderId="0" xfId="0" applyNumberFormat="1" applyFill="1"/>
    <xf numFmtId="0" fontId="6" fillId="0" borderId="0" xfId="3"/>
    <xf numFmtId="0" fontId="0" fillId="7" borderId="0" xfId="0" applyFill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2" fontId="9" fillId="0" borderId="14" xfId="0" applyNumberFormat="1" applyFont="1" applyBorder="1" applyAlignment="1">
      <alignment horizontal="right" vertical="center"/>
    </xf>
    <xf numFmtId="2" fontId="0" fillId="7" borderId="0" xfId="0" applyNumberFormat="1" applyFill="1"/>
    <xf numFmtId="0" fontId="0" fillId="8" borderId="0" xfId="0" applyFill="1"/>
    <xf numFmtId="164" fontId="0" fillId="0" borderId="1" xfId="0" applyNumberFormat="1" applyBorder="1" applyAlignment="1">
      <alignment wrapText="1"/>
    </xf>
    <xf numFmtId="165" fontId="0" fillId="2" borderId="0" xfId="0" applyNumberFormat="1" applyFill="1" applyAlignment="1">
      <alignment wrapText="1"/>
    </xf>
    <xf numFmtId="165" fontId="5" fillId="9" borderId="1" xfId="0" applyNumberFormat="1" applyFont="1" applyFill="1" applyBorder="1"/>
    <xf numFmtId="164" fontId="5" fillId="0" borderId="0" xfId="0" applyNumberFormat="1" applyFont="1"/>
    <xf numFmtId="167" fontId="5" fillId="0" borderId="1" xfId="0" applyNumberFormat="1" applyFont="1" applyBorder="1" applyAlignment="1">
      <alignment wrapText="1"/>
    </xf>
    <xf numFmtId="167" fontId="5" fillId="0" borderId="1" xfId="0" applyNumberFormat="1" applyFont="1" applyBorder="1"/>
    <xf numFmtId="165" fontId="5" fillId="8" borderId="1" xfId="0" applyNumberFormat="1" applyFont="1" applyFill="1" applyBorder="1" applyAlignment="1">
      <alignment wrapText="1"/>
    </xf>
    <xf numFmtId="0" fontId="5" fillId="8" borderId="1" xfId="0" applyFont="1" applyFill="1" applyBorder="1"/>
    <xf numFmtId="165" fontId="5" fillId="8" borderId="1" xfId="0" applyNumberFormat="1" applyFont="1" applyFill="1" applyBorder="1"/>
    <xf numFmtId="0" fontId="14" fillId="6" borderId="15" xfId="0" applyFont="1" applyFill="1" applyBorder="1"/>
    <xf numFmtId="0" fontId="15" fillId="0" borderId="0" xfId="0" applyFont="1" applyAlignment="1">
      <alignment horizontal="center"/>
    </xf>
    <xf numFmtId="2" fontId="0" fillId="0" borderId="0" xfId="0" applyNumberFormat="1"/>
    <xf numFmtId="2" fontId="15" fillId="0" borderId="0" xfId="0" applyNumberFormat="1" applyFont="1" applyAlignment="1">
      <alignment horizontal="center"/>
    </xf>
    <xf numFmtId="2" fontId="0" fillId="9" borderId="0" xfId="0" applyNumberFormat="1" applyFill="1"/>
    <xf numFmtId="2" fontId="15" fillId="9" borderId="0" xfId="0" applyNumberFormat="1" applyFont="1" applyFill="1" applyAlignment="1">
      <alignment horizontal="center"/>
    </xf>
    <xf numFmtId="164" fontId="2" fillId="0" borderId="0" xfId="0" applyNumberFormat="1" applyFont="1"/>
    <xf numFmtId="0" fontId="2" fillId="0" borderId="0" xfId="0" applyFont="1"/>
    <xf numFmtId="164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64" fontId="16" fillId="0" borderId="14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4" fontId="2" fillId="0" borderId="0" xfId="0" applyNumberFormat="1" applyFont="1"/>
    <xf numFmtId="4" fontId="16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right" vertical="center"/>
    </xf>
    <xf numFmtId="4" fontId="6" fillId="0" borderId="14" xfId="3" applyNumberForma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0" fontId="17" fillId="0" borderId="0" xfId="4"/>
    <xf numFmtId="1" fontId="0" fillId="0" borderId="0" xfId="0" applyNumberFormat="1"/>
    <xf numFmtId="0" fontId="18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8" fontId="5" fillId="0" borderId="1" xfId="0" applyNumberFormat="1" applyFont="1" applyBorder="1"/>
    <xf numFmtId="2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/>
    <xf numFmtId="2" fontId="0" fillId="3" borderId="1" xfId="0" applyNumberFormat="1" applyFill="1" applyBorder="1"/>
    <xf numFmtId="0" fontId="0" fillId="8" borderId="1" xfId="0" applyFill="1" applyBorder="1"/>
    <xf numFmtId="164" fontId="5" fillId="8" borderId="1" xfId="0" applyNumberFormat="1" applyFont="1" applyFill="1" applyBorder="1" applyAlignment="1">
      <alignment wrapText="1"/>
    </xf>
    <xf numFmtId="0" fontId="16" fillId="0" borderId="0" xfId="0" applyFont="1" applyAlignment="1">
      <alignment horizontal="right" vertical="center" wrapText="1"/>
    </xf>
    <xf numFmtId="2" fontId="2" fillId="0" borderId="0" xfId="0" applyNumberFormat="1" applyFont="1"/>
    <xf numFmtId="0" fontId="0" fillId="0" borderId="16" xfId="0" applyBorder="1" applyAlignment="1">
      <alignment wrapText="1"/>
    </xf>
    <xf numFmtId="164" fontId="0" fillId="0" borderId="16" xfId="0" applyNumberFormat="1" applyBorder="1" applyAlignment="1">
      <alignment wrapText="1"/>
    </xf>
    <xf numFmtId="2" fontId="0" fillId="8" borderId="0" xfId="0" applyNumberFormat="1" applyFill="1"/>
    <xf numFmtId="165" fontId="5" fillId="0" borderId="2" xfId="0" applyNumberFormat="1" applyFont="1" applyBorder="1" applyAlignment="1">
      <alignment wrapText="1"/>
    </xf>
    <xf numFmtId="165" fontId="5" fillId="0" borderId="0" xfId="0" applyNumberFormat="1" applyFont="1" applyAlignment="1">
      <alignment wrapText="1"/>
    </xf>
    <xf numFmtId="165" fontId="5" fillId="0" borderId="0" xfId="0" applyNumberFormat="1" applyFont="1"/>
    <xf numFmtId="0" fontId="5" fillId="0" borderId="0" xfId="0" applyFont="1"/>
    <xf numFmtId="0" fontId="15" fillId="8" borderId="0" xfId="0" applyFont="1" applyFill="1" applyAlignment="1">
      <alignment horizontal="center"/>
    </xf>
    <xf numFmtId="2" fontId="15" fillId="8" borderId="0" xfId="0" applyNumberFormat="1" applyFont="1" applyFill="1" applyAlignment="1">
      <alignment horizontal="center"/>
    </xf>
    <xf numFmtId="164" fontId="0" fillId="0" borderId="17" xfId="0" applyNumberFormat="1" applyBorder="1"/>
    <xf numFmtId="0" fontId="0" fillId="0" borderId="17" xfId="0" applyBorder="1"/>
    <xf numFmtId="0" fontId="5" fillId="0" borderId="17" xfId="0" applyFont="1" applyBorder="1"/>
    <xf numFmtId="167" fontId="5" fillId="0" borderId="17" xfId="0" applyNumberFormat="1" applyFont="1" applyBorder="1"/>
    <xf numFmtId="2" fontId="0" fillId="3" borderId="17" xfId="0" applyNumberFormat="1" applyFill="1" applyBorder="1"/>
    <xf numFmtId="0" fontId="0" fillId="4" borderId="17" xfId="0" applyFill="1" applyBorder="1"/>
    <xf numFmtId="165" fontId="5" fillId="0" borderId="17" xfId="0" applyNumberFormat="1" applyFont="1" applyBorder="1"/>
    <xf numFmtId="165" fontId="0" fillId="4" borderId="17" xfId="0" applyNumberFormat="1" applyFill="1" applyBorder="1"/>
    <xf numFmtId="165" fontId="0" fillId="0" borderId="17" xfId="0" applyNumberFormat="1" applyBorder="1"/>
    <xf numFmtId="0" fontId="0" fillId="3" borderId="17" xfId="0" applyFill="1" applyBorder="1"/>
    <xf numFmtId="0" fontId="0" fillId="11" borderId="17" xfId="0" applyFill="1" applyBorder="1"/>
    <xf numFmtId="0" fontId="5" fillId="11" borderId="17" xfId="0" applyFont="1" applyFill="1" applyBorder="1"/>
    <xf numFmtId="164" fontId="0" fillId="11" borderId="17" xfId="0" applyNumberFormat="1" applyFill="1" applyBorder="1"/>
    <xf numFmtId="167" fontId="5" fillId="11" borderId="17" xfId="0" applyNumberFormat="1" applyFont="1" applyFill="1" applyBorder="1"/>
    <xf numFmtId="2" fontId="0" fillId="11" borderId="17" xfId="0" applyNumberFormat="1" applyFill="1" applyBorder="1"/>
    <xf numFmtId="165" fontId="5" fillId="11" borderId="17" xfId="0" applyNumberFormat="1" applyFont="1" applyFill="1" applyBorder="1"/>
    <xf numFmtId="165" fontId="0" fillId="11" borderId="17" xfId="0" applyNumberFormat="1" applyFill="1" applyBorder="1"/>
    <xf numFmtId="0" fontId="0" fillId="11" borderId="0" xfId="0" applyFill="1"/>
    <xf numFmtId="4" fontId="0" fillId="11" borderId="0" xfId="0" applyNumberFormat="1" applyFill="1"/>
    <xf numFmtId="4" fontId="5" fillId="0" borderId="0" xfId="0" applyNumberFormat="1" applyFont="1"/>
    <xf numFmtId="2" fontId="0" fillId="0" borderId="0" xfId="0" applyNumberFormat="1" applyAlignment="1">
      <alignment wrapText="1"/>
    </xf>
    <xf numFmtId="0" fontId="22" fillId="0" borderId="0" xfId="8"/>
    <xf numFmtId="2" fontId="22" fillId="0" borderId="0" xfId="8" applyNumberFormat="1" applyAlignment="1">
      <alignment horizontal="center"/>
    </xf>
    <xf numFmtId="1" fontId="22" fillId="0" borderId="0" xfId="8" applyNumberFormat="1"/>
    <xf numFmtId="0" fontId="0" fillId="0" borderId="3" xfId="0" applyBorder="1"/>
    <xf numFmtId="0" fontId="5" fillId="0" borderId="3" xfId="0" applyFont="1" applyBorder="1"/>
    <xf numFmtId="164" fontId="0" fillId="0" borderId="3" xfId="0" applyNumberFormat="1" applyBorder="1"/>
    <xf numFmtId="167" fontId="5" fillId="0" borderId="3" xfId="0" applyNumberFormat="1" applyFont="1" applyBorder="1"/>
    <xf numFmtId="2" fontId="0" fillId="3" borderId="3" xfId="0" applyNumberFormat="1" applyFill="1" applyBorder="1"/>
    <xf numFmtId="0" fontId="0" fillId="4" borderId="3" xfId="0" applyFill="1" applyBorder="1"/>
    <xf numFmtId="0" fontId="0" fillId="3" borderId="3" xfId="0" applyFill="1" applyBorder="1"/>
    <xf numFmtId="165" fontId="5" fillId="0" borderId="3" xfId="0" applyNumberFormat="1" applyFont="1" applyBorder="1"/>
    <xf numFmtId="165" fontId="0" fillId="4" borderId="3" xfId="0" applyNumberFormat="1" applyFill="1" applyBorder="1"/>
    <xf numFmtId="165" fontId="0" fillId="0" borderId="3" xfId="0" applyNumberFormat="1" applyBorder="1"/>
    <xf numFmtId="0" fontId="5" fillId="0" borderId="17" xfId="0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164" fontId="5" fillId="0" borderId="17" xfId="0" applyNumberFormat="1" applyFont="1" applyBorder="1" applyAlignment="1">
      <alignment wrapText="1"/>
    </xf>
    <xf numFmtId="167" fontId="5" fillId="0" borderId="17" xfId="0" applyNumberFormat="1" applyFont="1" applyBorder="1" applyAlignment="1">
      <alignment wrapText="1"/>
    </xf>
    <xf numFmtId="2" fontId="5" fillId="3" borderId="17" xfId="0" applyNumberFormat="1" applyFont="1" applyFill="1" applyBorder="1" applyAlignment="1">
      <alignment wrapText="1"/>
    </xf>
    <xf numFmtId="165" fontId="5" fillId="4" borderId="17" xfId="0" applyNumberFormat="1" applyFont="1" applyFill="1" applyBorder="1" applyAlignment="1">
      <alignment wrapText="1"/>
    </xf>
    <xf numFmtId="165" fontId="5" fillId="3" borderId="17" xfId="0" applyNumberFormat="1" applyFont="1" applyFill="1" applyBorder="1" applyAlignment="1">
      <alignment wrapText="1"/>
    </xf>
    <xf numFmtId="164" fontId="5" fillId="0" borderId="17" xfId="0" applyNumberFormat="1" applyFont="1" applyBorder="1"/>
    <xf numFmtId="164" fontId="5" fillId="8" borderId="17" xfId="0" applyNumberFormat="1" applyFont="1" applyFill="1" applyBorder="1" applyAlignment="1">
      <alignment wrapText="1"/>
    </xf>
    <xf numFmtId="2" fontId="5" fillId="3" borderId="17" xfId="0" applyNumberFormat="1" applyFont="1" applyFill="1" applyBorder="1"/>
    <xf numFmtId="165" fontId="5" fillId="8" borderId="17" xfId="0" applyNumberFormat="1" applyFont="1" applyFill="1" applyBorder="1" applyAlignment="1">
      <alignment wrapText="1"/>
    </xf>
    <xf numFmtId="165" fontId="5" fillId="3" borderId="17" xfId="0" applyNumberFormat="1" applyFont="1" applyFill="1" applyBorder="1"/>
    <xf numFmtId="165" fontId="5" fillId="4" borderId="17" xfId="0" applyNumberFormat="1" applyFont="1" applyFill="1" applyBorder="1"/>
    <xf numFmtId="165" fontId="5" fillId="8" borderId="17" xfId="0" applyNumberFormat="1" applyFont="1" applyFill="1" applyBorder="1"/>
    <xf numFmtId="165" fontId="5" fillId="9" borderId="17" xfId="0" applyNumberFormat="1" applyFont="1" applyFill="1" applyBorder="1"/>
    <xf numFmtId="0" fontId="5" fillId="8" borderId="17" xfId="0" applyFont="1" applyFill="1" applyBorder="1"/>
    <xf numFmtId="0" fontId="0" fillId="8" borderId="17" xfId="0" applyFill="1" applyBorder="1"/>
    <xf numFmtId="168" fontId="5" fillId="0" borderId="17" xfId="0" applyNumberFormat="1" applyFont="1" applyBorder="1"/>
    <xf numFmtId="2" fontId="0" fillId="0" borderId="17" xfId="0" applyNumberFormat="1" applyBorder="1"/>
    <xf numFmtId="2" fontId="0" fillId="8" borderId="17" xfId="0" applyNumberFormat="1" applyFill="1" applyBorder="1"/>
    <xf numFmtId="2" fontId="0" fillId="10" borderId="17" xfId="0" applyNumberFormat="1" applyFill="1" applyBorder="1"/>
    <xf numFmtId="167" fontId="5" fillId="0" borderId="0" xfId="0" applyNumberFormat="1" applyFont="1"/>
    <xf numFmtId="2" fontId="0" fillId="3" borderId="0" xfId="0" applyNumberFormat="1" applyFill="1"/>
    <xf numFmtId="0" fontId="0" fillId="4" borderId="0" xfId="0" applyFill="1"/>
    <xf numFmtId="0" fontId="0" fillId="3" borderId="0" xfId="0" applyFill="1"/>
    <xf numFmtId="2" fontId="5" fillId="0" borderId="17" xfId="0" applyNumberFormat="1" applyFont="1" applyBorder="1" applyAlignment="1">
      <alignment wrapText="1"/>
    </xf>
    <xf numFmtId="2" fontId="5" fillId="0" borderId="17" xfId="0" applyNumberFormat="1" applyFont="1" applyBorder="1"/>
    <xf numFmtId="2" fontId="0" fillId="0" borderId="3" xfId="0" applyNumberFormat="1" applyBorder="1"/>
    <xf numFmtId="2" fontId="0" fillId="0" borderId="1" xfId="0" applyNumberFormat="1" applyBorder="1"/>
    <xf numFmtId="2" fontId="5" fillId="8" borderId="17" xfId="0" applyNumberFormat="1" applyFont="1" applyFill="1" applyBorder="1" applyAlignment="1">
      <alignment wrapText="1"/>
    </xf>
    <xf numFmtId="2" fontId="5" fillId="8" borderId="17" xfId="0" applyNumberFormat="1" applyFont="1" applyFill="1" applyBorder="1"/>
    <xf numFmtId="2" fontId="5" fillId="9" borderId="17" xfId="0" applyNumberFormat="1" applyFont="1" applyFill="1" applyBorder="1"/>
    <xf numFmtId="2" fontId="5" fillId="11" borderId="17" xfId="0" applyNumberFormat="1" applyFont="1" applyFill="1" applyBorder="1"/>
    <xf numFmtId="0" fontId="15" fillId="0" borderId="0" xfId="0" applyFont="1" applyAlignment="1">
      <alignment wrapText="1"/>
    </xf>
    <xf numFmtId="169" fontId="0" fillId="0" borderId="0" xfId="0" applyNumberFormat="1"/>
    <xf numFmtId="169" fontId="0" fillId="8" borderId="0" xfId="0" applyNumberFormat="1" applyFill="1"/>
    <xf numFmtId="0" fontId="24" fillId="0" borderId="17" xfId="0" applyFont="1" applyBorder="1" applyAlignment="1">
      <alignment wrapText="1"/>
    </xf>
    <xf numFmtId="0" fontId="24" fillId="0" borderId="17" xfId="0" applyFont="1" applyBorder="1" applyAlignment="1">
      <alignment horizontal="center" wrapText="1"/>
    </xf>
    <xf numFmtId="169" fontId="24" fillId="0" borderId="17" xfId="0" applyNumberFormat="1" applyFont="1" applyBorder="1" applyAlignment="1">
      <alignment horizontal="center" wrapText="1"/>
    </xf>
    <xf numFmtId="2" fontId="24" fillId="2" borderId="17" xfId="0" applyNumberFormat="1" applyFont="1" applyFill="1" applyBorder="1" applyAlignment="1">
      <alignment horizontal="center" wrapText="1"/>
    </xf>
    <xf numFmtId="169" fontId="24" fillId="2" borderId="17" xfId="0" applyNumberFormat="1" applyFont="1" applyFill="1" applyBorder="1" applyAlignment="1">
      <alignment horizontal="center" wrapText="1"/>
    </xf>
    <xf numFmtId="0" fontId="24" fillId="2" borderId="17" xfId="0" applyFont="1" applyFill="1" applyBorder="1" applyAlignment="1">
      <alignment horizontal="center" wrapText="1"/>
    </xf>
    <xf numFmtId="169" fontId="24" fillId="2" borderId="17" xfId="0" applyNumberFormat="1" applyFont="1" applyFill="1" applyBorder="1" applyAlignment="1">
      <alignment wrapText="1"/>
    </xf>
    <xf numFmtId="2" fontId="24" fillId="0" borderId="17" xfId="0" applyNumberFormat="1" applyFont="1" applyBorder="1" applyAlignment="1">
      <alignment horizontal="center" wrapText="1"/>
    </xf>
    <xf numFmtId="0" fontId="25" fillId="0" borderId="17" xfId="0" applyFont="1" applyBorder="1"/>
    <xf numFmtId="2" fontId="25" fillId="0" borderId="17" xfId="0" applyNumberFormat="1" applyFont="1" applyBorder="1"/>
    <xf numFmtId="169" fontId="25" fillId="0" borderId="17" xfId="0" applyNumberFormat="1" applyFont="1" applyBorder="1"/>
    <xf numFmtId="2" fontId="25" fillId="2" borderId="17" xfId="0" applyNumberFormat="1" applyFont="1" applyFill="1" applyBorder="1"/>
    <xf numFmtId="169" fontId="25" fillId="2" borderId="17" xfId="0" applyNumberFormat="1" applyFont="1" applyFill="1" applyBorder="1"/>
    <xf numFmtId="0" fontId="23" fillId="0" borderId="17" xfId="0" applyFont="1" applyBorder="1" applyAlignment="1">
      <alignment vertical="center" wrapText="1"/>
    </xf>
    <xf numFmtId="164" fontId="23" fillId="0" borderId="17" xfId="0" applyNumberFormat="1" applyFont="1" applyBorder="1" applyAlignment="1">
      <alignment vertical="center" wrapText="1"/>
    </xf>
    <xf numFmtId="2" fontId="23" fillId="0" borderId="17" xfId="0" applyNumberFormat="1" applyFont="1" applyBorder="1" applyAlignment="1">
      <alignment vertical="center" wrapText="1"/>
    </xf>
    <xf numFmtId="0" fontId="5" fillId="0" borderId="17" xfId="4" applyFont="1" applyBorder="1" applyAlignment="1">
      <alignment wrapText="1"/>
    </xf>
    <xf numFmtId="2" fontId="5" fillId="0" borderId="17" xfId="4" applyNumberFormat="1" applyFont="1" applyBorder="1" applyAlignment="1">
      <alignment wrapText="1"/>
    </xf>
    <xf numFmtId="0" fontId="23" fillId="0" borderId="17" xfId="0" applyFont="1" applyBorder="1" applyAlignment="1">
      <alignment horizontal="right" vertical="center" wrapText="1"/>
    </xf>
    <xf numFmtId="2" fontId="23" fillId="0" borderId="17" xfId="0" applyNumberFormat="1" applyFont="1" applyBorder="1" applyAlignment="1">
      <alignment horizontal="right" vertical="center" wrapText="1"/>
    </xf>
    <xf numFmtId="2" fontId="23" fillId="0" borderId="17" xfId="0" applyNumberFormat="1" applyFont="1" applyBorder="1" applyAlignment="1">
      <alignment wrapText="1"/>
    </xf>
    <xf numFmtId="0" fontId="5" fillId="0" borderId="17" xfId="0" applyFont="1" applyBorder="1" applyAlignment="1">
      <alignment vertical="center" wrapText="1"/>
    </xf>
    <xf numFmtId="170" fontId="0" fillId="0" borderId="16" xfId="0" applyNumberFormat="1" applyBorder="1" applyAlignment="1">
      <alignment wrapText="1"/>
    </xf>
    <xf numFmtId="0" fontId="0" fillId="0" borderId="0" xfId="0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26" fillId="0" borderId="0" xfId="0" applyFont="1" applyAlignment="1">
      <alignment vertical="center"/>
    </xf>
    <xf numFmtId="171" fontId="0" fillId="0" borderId="0" xfId="0" applyNumberFormat="1"/>
    <xf numFmtId="172" fontId="0" fillId="0" borderId="0" xfId="0" applyNumberFormat="1"/>
    <xf numFmtId="168" fontId="0" fillId="0" borderId="0" xfId="0" applyNumberFormat="1"/>
    <xf numFmtId="1" fontId="5" fillId="3" borderId="1" xfId="0" applyNumberFormat="1" applyFont="1" applyFill="1" applyBorder="1" applyAlignment="1">
      <alignment wrapText="1"/>
    </xf>
    <xf numFmtId="1" fontId="5" fillId="4" borderId="1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5" fillId="0" borderId="1" xfId="0" applyNumberFormat="1" applyFont="1" applyBorder="1"/>
    <xf numFmtId="1" fontId="5" fillId="3" borderId="1" xfId="0" applyNumberFormat="1" applyFont="1" applyFill="1" applyBorder="1"/>
    <xf numFmtId="1" fontId="5" fillId="4" borderId="1" xfId="0" applyNumberFormat="1" applyFont="1" applyFill="1" applyBorder="1"/>
    <xf numFmtId="1" fontId="5" fillId="8" borderId="1" xfId="0" applyNumberFormat="1" applyFont="1" applyFill="1" applyBorder="1" applyAlignment="1">
      <alignment wrapText="1"/>
    </xf>
    <xf numFmtId="1" fontId="5" fillId="9" borderId="1" xfId="0" applyNumberFormat="1" applyFont="1" applyFill="1" applyBorder="1"/>
    <xf numFmtId="1" fontId="5" fillId="8" borderId="1" xfId="0" applyNumberFormat="1" applyFont="1" applyFill="1" applyBorder="1"/>
    <xf numFmtId="1" fontId="0" fillId="0" borderId="1" xfId="0" applyNumberFormat="1" applyBorder="1"/>
    <xf numFmtId="1" fontId="0" fillId="4" borderId="1" xfId="0" applyNumberFormat="1" applyFill="1" applyBorder="1"/>
    <xf numFmtId="1" fontId="0" fillId="8" borderId="1" xfId="0" applyNumberFormat="1" applyFill="1" applyBorder="1"/>
    <xf numFmtId="1" fontId="0" fillId="3" borderId="1" xfId="0" applyNumberFormat="1" applyFill="1" applyBorder="1"/>
    <xf numFmtId="168" fontId="0" fillId="0" borderId="0" xfId="0" applyNumberFormat="1" applyAlignment="1">
      <alignment wrapText="1"/>
    </xf>
    <xf numFmtId="168" fontId="0" fillId="8" borderId="0" xfId="0" applyNumberFormat="1" applyFill="1"/>
    <xf numFmtId="0" fontId="27" fillId="8" borderId="0" xfId="0" applyFont="1" applyFill="1"/>
  </cellXfs>
  <cellStyles count="9">
    <cellStyle name="??????? 2" xfId="5" xr:uid="{4A0B3DD0-BD5E-404B-A0B1-6EE7B17BBEC1}"/>
    <cellStyle name="Hyperlink" xfId="3" builtinId="8"/>
    <cellStyle name="Normal" xfId="0" builtinId="0"/>
    <cellStyle name="Normal 2" xfId="1" xr:uid="{00000000-0005-0000-0000-000000000000}"/>
    <cellStyle name="Normal 2 2" xfId="7" xr:uid="{A7521EE4-ECEE-4842-964D-6CE3BF40C1DF}"/>
    <cellStyle name="Normal 3" xfId="4" xr:uid="{17B2E9E0-82D6-4581-80E9-13EE681BDC98}"/>
    <cellStyle name="Normale 2" xfId="8" xr:uid="{8FA82726-70C1-44EE-B19E-F8A6AB61C548}"/>
    <cellStyle name="Обычный 2" xfId="2" xr:uid="{00000000-0005-0000-0000-000003000000}"/>
    <cellStyle name="Обычный 3" xfId="6" xr:uid="{8B9896E2-8171-4246-8D57-AF105F68FF48}"/>
  </cellStyles>
  <dxfs count="16"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numFmt numFmtId="165" formatCode="0.00;[Red]0.00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#,##0.00;[Red]#,##0.00"/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FB1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1'!$D$3</c:f>
              <c:strCache>
                <c:ptCount val="1"/>
                <c:pt idx="0">
                  <c:v>the cost of subsistence basket (rubles)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44450">
                <a:solidFill>
                  <a:schemeClr val="tx1"/>
                </a:solidFill>
              </a:ln>
              <a:effectLst/>
            </c:spPr>
          </c:marker>
          <c:cat>
            <c:numRef>
              <c:f>'figure 1'!$C$6:$C$90</c:f>
              <c:numCache>
                <c:formatCode>General</c:formatCode>
                <c:ptCount val="85"/>
                <c:pt idx="0">
                  <c:v>1718</c:v>
                </c:pt>
                <c:pt idx="1">
                  <c:v>1725</c:v>
                </c:pt>
                <c:pt idx="2">
                  <c:v>1726</c:v>
                </c:pt>
                <c:pt idx="3">
                  <c:v>1727</c:v>
                </c:pt>
                <c:pt idx="4">
                  <c:v>1728</c:v>
                </c:pt>
                <c:pt idx="5">
                  <c:v>1729</c:v>
                </c:pt>
                <c:pt idx="6">
                  <c:v>1730</c:v>
                </c:pt>
                <c:pt idx="7">
                  <c:v>1731</c:v>
                </c:pt>
                <c:pt idx="8">
                  <c:v>1732</c:v>
                </c:pt>
                <c:pt idx="9">
                  <c:v>1733</c:v>
                </c:pt>
                <c:pt idx="10">
                  <c:v>1734</c:v>
                </c:pt>
                <c:pt idx="11">
                  <c:v>1735</c:v>
                </c:pt>
                <c:pt idx="12">
                  <c:v>1736</c:v>
                </c:pt>
                <c:pt idx="13">
                  <c:v>1737</c:v>
                </c:pt>
                <c:pt idx="14">
                  <c:v>1738</c:v>
                </c:pt>
                <c:pt idx="15">
                  <c:v>1741</c:v>
                </c:pt>
                <c:pt idx="16">
                  <c:v>1744</c:v>
                </c:pt>
                <c:pt idx="17">
                  <c:v>1745</c:v>
                </c:pt>
                <c:pt idx="18">
                  <c:v>1746</c:v>
                </c:pt>
                <c:pt idx="19">
                  <c:v>1747</c:v>
                </c:pt>
                <c:pt idx="20">
                  <c:v>1748</c:v>
                </c:pt>
                <c:pt idx="21">
                  <c:v>1749</c:v>
                </c:pt>
                <c:pt idx="22">
                  <c:v>1750</c:v>
                </c:pt>
                <c:pt idx="23">
                  <c:v>1751</c:v>
                </c:pt>
                <c:pt idx="24">
                  <c:v>1752</c:v>
                </c:pt>
                <c:pt idx="25">
                  <c:v>1753</c:v>
                </c:pt>
                <c:pt idx="26">
                  <c:v>1757</c:v>
                </c:pt>
                <c:pt idx="27">
                  <c:v>1758</c:v>
                </c:pt>
                <c:pt idx="28">
                  <c:v>1759</c:v>
                </c:pt>
                <c:pt idx="29">
                  <c:v>1760</c:v>
                </c:pt>
                <c:pt idx="30">
                  <c:v>1761</c:v>
                </c:pt>
                <c:pt idx="31">
                  <c:v>1762</c:v>
                </c:pt>
                <c:pt idx="32">
                  <c:v>1763</c:v>
                </c:pt>
                <c:pt idx="33">
                  <c:v>1764</c:v>
                </c:pt>
                <c:pt idx="34">
                  <c:v>1765</c:v>
                </c:pt>
                <c:pt idx="35">
                  <c:v>1766</c:v>
                </c:pt>
                <c:pt idx="36">
                  <c:v>1767</c:v>
                </c:pt>
                <c:pt idx="37">
                  <c:v>1768</c:v>
                </c:pt>
                <c:pt idx="38">
                  <c:v>1769</c:v>
                </c:pt>
                <c:pt idx="39">
                  <c:v>1770</c:v>
                </c:pt>
                <c:pt idx="40">
                  <c:v>1771</c:v>
                </c:pt>
                <c:pt idx="41">
                  <c:v>1772</c:v>
                </c:pt>
                <c:pt idx="42">
                  <c:v>1773</c:v>
                </c:pt>
                <c:pt idx="43">
                  <c:v>1774</c:v>
                </c:pt>
                <c:pt idx="44">
                  <c:v>1775</c:v>
                </c:pt>
                <c:pt idx="45">
                  <c:v>1776</c:v>
                </c:pt>
                <c:pt idx="46">
                  <c:v>1777</c:v>
                </c:pt>
                <c:pt idx="47">
                  <c:v>1778</c:v>
                </c:pt>
                <c:pt idx="48">
                  <c:v>1779</c:v>
                </c:pt>
                <c:pt idx="49">
                  <c:v>1780</c:v>
                </c:pt>
                <c:pt idx="50">
                  <c:v>1781</c:v>
                </c:pt>
                <c:pt idx="51">
                  <c:v>1782</c:v>
                </c:pt>
                <c:pt idx="52">
                  <c:v>1783</c:v>
                </c:pt>
                <c:pt idx="53">
                  <c:v>1784</c:v>
                </c:pt>
                <c:pt idx="54">
                  <c:v>1785</c:v>
                </c:pt>
                <c:pt idx="55">
                  <c:v>1786</c:v>
                </c:pt>
                <c:pt idx="56">
                  <c:v>1787</c:v>
                </c:pt>
                <c:pt idx="57">
                  <c:v>1788</c:v>
                </c:pt>
                <c:pt idx="58">
                  <c:v>1789</c:v>
                </c:pt>
                <c:pt idx="59">
                  <c:v>1790</c:v>
                </c:pt>
                <c:pt idx="60">
                  <c:v>1791</c:v>
                </c:pt>
                <c:pt idx="61">
                  <c:v>1792</c:v>
                </c:pt>
                <c:pt idx="62">
                  <c:v>1793</c:v>
                </c:pt>
                <c:pt idx="63">
                  <c:v>1794</c:v>
                </c:pt>
                <c:pt idx="64">
                  <c:v>1795</c:v>
                </c:pt>
                <c:pt idx="65">
                  <c:v>1796</c:v>
                </c:pt>
                <c:pt idx="66">
                  <c:v>1797</c:v>
                </c:pt>
                <c:pt idx="67">
                  <c:v>1798</c:v>
                </c:pt>
                <c:pt idx="68">
                  <c:v>1799</c:v>
                </c:pt>
                <c:pt idx="69">
                  <c:v>1800</c:v>
                </c:pt>
                <c:pt idx="70">
                  <c:v>1801</c:v>
                </c:pt>
                <c:pt idx="71">
                  <c:v>1802</c:v>
                </c:pt>
                <c:pt idx="72">
                  <c:v>1803</c:v>
                </c:pt>
                <c:pt idx="73">
                  <c:v>1804</c:v>
                </c:pt>
                <c:pt idx="74">
                  <c:v>1805</c:v>
                </c:pt>
                <c:pt idx="75">
                  <c:v>1806</c:v>
                </c:pt>
                <c:pt idx="76">
                  <c:v>1807</c:v>
                </c:pt>
                <c:pt idx="77">
                  <c:v>1808</c:v>
                </c:pt>
                <c:pt idx="78">
                  <c:v>1809</c:v>
                </c:pt>
                <c:pt idx="79">
                  <c:v>1810</c:v>
                </c:pt>
                <c:pt idx="80">
                  <c:v>1811</c:v>
                </c:pt>
                <c:pt idx="81">
                  <c:v>1812</c:v>
                </c:pt>
                <c:pt idx="82">
                  <c:v>1813</c:v>
                </c:pt>
                <c:pt idx="83">
                  <c:v>1814</c:v>
                </c:pt>
                <c:pt idx="84">
                  <c:v>1815</c:v>
                </c:pt>
              </c:numCache>
            </c:numRef>
          </c:cat>
          <c:val>
            <c:numRef>
              <c:f>'figure 1'!$D$6:$D$90</c:f>
              <c:numCache>
                <c:formatCode>0;[Red]0</c:formatCode>
                <c:ptCount val="85"/>
                <c:pt idx="0">
                  <c:v>4.7741878905000004</c:v>
                </c:pt>
                <c:pt idx="4">
                  <c:v>4.1209874475000001</c:v>
                </c:pt>
                <c:pt idx="14">
                  <c:v>4.0068489300000003</c:v>
                </c:pt>
                <c:pt idx="31">
                  <c:v>4.2015216949999994</c:v>
                </c:pt>
                <c:pt idx="32">
                  <c:v>4.3245307087499993</c:v>
                </c:pt>
                <c:pt idx="33">
                  <c:v>4.249504763</c:v>
                </c:pt>
                <c:pt idx="36">
                  <c:v>8.1787793240999989</c:v>
                </c:pt>
                <c:pt idx="46">
                  <c:v>6.1177137105000003</c:v>
                </c:pt>
                <c:pt idx="55">
                  <c:v>10.601767856362308</c:v>
                </c:pt>
                <c:pt idx="56">
                  <c:v>18.276205560574976</c:v>
                </c:pt>
                <c:pt idx="57">
                  <c:v>12.572337336931639</c:v>
                </c:pt>
                <c:pt idx="58">
                  <c:v>11.000405849931642</c:v>
                </c:pt>
                <c:pt idx="61">
                  <c:v>9.8821683624316421</c:v>
                </c:pt>
                <c:pt idx="62">
                  <c:v>14.400411513833333</c:v>
                </c:pt>
                <c:pt idx="63">
                  <c:v>13.15573865190577</c:v>
                </c:pt>
                <c:pt idx="64">
                  <c:v>15.92018632575</c:v>
                </c:pt>
                <c:pt idx="65">
                  <c:v>17.666848116218748</c:v>
                </c:pt>
                <c:pt idx="66">
                  <c:v>15.212691773343751</c:v>
                </c:pt>
                <c:pt idx="67">
                  <c:v>13.837095099000003</c:v>
                </c:pt>
                <c:pt idx="68">
                  <c:v>14.1333016654375</c:v>
                </c:pt>
                <c:pt idx="69">
                  <c:v>17.359921714799999</c:v>
                </c:pt>
                <c:pt idx="70">
                  <c:v>18.106124678181644</c:v>
                </c:pt>
                <c:pt idx="71">
                  <c:v>15.313636863000001</c:v>
                </c:pt>
                <c:pt idx="74">
                  <c:v>15.067322237916665</c:v>
                </c:pt>
                <c:pt idx="75">
                  <c:v>17.340630103125001</c:v>
                </c:pt>
                <c:pt idx="76">
                  <c:v>18.1805791768125</c:v>
                </c:pt>
                <c:pt idx="78">
                  <c:v>24.760617378000006</c:v>
                </c:pt>
                <c:pt idx="79">
                  <c:v>29.997571159500001</c:v>
                </c:pt>
                <c:pt idx="84">
                  <c:v>39.493489937999996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7-407F-BE53-44F7A1760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23503"/>
        <c:axId val="175801423"/>
      </c:lineChart>
      <c:lineChart>
        <c:grouping val="standard"/>
        <c:varyColors val="0"/>
        <c:ser>
          <c:idx val="1"/>
          <c:order val="1"/>
          <c:tx>
            <c:strRef>
              <c:f>'figure 1'!$E$3</c:f>
              <c:strCache>
                <c:ptCount val="1"/>
                <c:pt idx="0">
                  <c:v>the cost of subsistence basket (silver rubles)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412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'figure 1'!$C$6:$C$90</c:f>
              <c:numCache>
                <c:formatCode>General</c:formatCode>
                <c:ptCount val="85"/>
                <c:pt idx="0">
                  <c:v>1718</c:v>
                </c:pt>
                <c:pt idx="1">
                  <c:v>1725</c:v>
                </c:pt>
                <c:pt idx="2">
                  <c:v>1726</c:v>
                </c:pt>
                <c:pt idx="3">
                  <c:v>1727</c:v>
                </c:pt>
                <c:pt idx="4">
                  <c:v>1728</c:v>
                </c:pt>
                <c:pt idx="5">
                  <c:v>1729</c:v>
                </c:pt>
                <c:pt idx="6">
                  <c:v>1730</c:v>
                </c:pt>
                <c:pt idx="7">
                  <c:v>1731</c:v>
                </c:pt>
                <c:pt idx="8">
                  <c:v>1732</c:v>
                </c:pt>
                <c:pt idx="9">
                  <c:v>1733</c:v>
                </c:pt>
                <c:pt idx="10">
                  <c:v>1734</c:v>
                </c:pt>
                <c:pt idx="11">
                  <c:v>1735</c:v>
                </c:pt>
                <c:pt idx="12">
                  <c:v>1736</c:v>
                </c:pt>
                <c:pt idx="13">
                  <c:v>1737</c:v>
                </c:pt>
                <c:pt idx="14">
                  <c:v>1738</c:v>
                </c:pt>
                <c:pt idx="15">
                  <c:v>1741</c:v>
                </c:pt>
                <c:pt idx="16">
                  <c:v>1744</c:v>
                </c:pt>
                <c:pt idx="17">
                  <c:v>1745</c:v>
                </c:pt>
                <c:pt idx="18">
                  <c:v>1746</c:v>
                </c:pt>
                <c:pt idx="19">
                  <c:v>1747</c:v>
                </c:pt>
                <c:pt idx="20">
                  <c:v>1748</c:v>
                </c:pt>
                <c:pt idx="21">
                  <c:v>1749</c:v>
                </c:pt>
                <c:pt idx="22">
                  <c:v>1750</c:v>
                </c:pt>
                <c:pt idx="23">
                  <c:v>1751</c:v>
                </c:pt>
                <c:pt idx="24">
                  <c:v>1752</c:v>
                </c:pt>
                <c:pt idx="25">
                  <c:v>1753</c:v>
                </c:pt>
                <c:pt idx="26">
                  <c:v>1757</c:v>
                </c:pt>
                <c:pt idx="27">
                  <c:v>1758</c:v>
                </c:pt>
                <c:pt idx="28">
                  <c:v>1759</c:v>
                </c:pt>
                <c:pt idx="29">
                  <c:v>1760</c:v>
                </c:pt>
                <c:pt idx="30">
                  <c:v>1761</c:v>
                </c:pt>
                <c:pt idx="31">
                  <c:v>1762</c:v>
                </c:pt>
                <c:pt idx="32">
                  <c:v>1763</c:v>
                </c:pt>
                <c:pt idx="33">
                  <c:v>1764</c:v>
                </c:pt>
                <c:pt idx="34">
                  <c:v>1765</c:v>
                </c:pt>
                <c:pt idx="35">
                  <c:v>1766</c:v>
                </c:pt>
                <c:pt idx="36">
                  <c:v>1767</c:v>
                </c:pt>
                <c:pt idx="37">
                  <c:v>1768</c:v>
                </c:pt>
                <c:pt idx="38">
                  <c:v>1769</c:v>
                </c:pt>
                <c:pt idx="39">
                  <c:v>1770</c:v>
                </c:pt>
                <c:pt idx="40">
                  <c:v>1771</c:v>
                </c:pt>
                <c:pt idx="41">
                  <c:v>1772</c:v>
                </c:pt>
                <c:pt idx="42">
                  <c:v>1773</c:v>
                </c:pt>
                <c:pt idx="43">
                  <c:v>1774</c:v>
                </c:pt>
                <c:pt idx="44">
                  <c:v>1775</c:v>
                </c:pt>
                <c:pt idx="45">
                  <c:v>1776</c:v>
                </c:pt>
                <c:pt idx="46">
                  <c:v>1777</c:v>
                </c:pt>
                <c:pt idx="47">
                  <c:v>1778</c:v>
                </c:pt>
                <c:pt idx="48">
                  <c:v>1779</c:v>
                </c:pt>
                <c:pt idx="49">
                  <c:v>1780</c:v>
                </c:pt>
                <c:pt idx="50">
                  <c:v>1781</c:v>
                </c:pt>
                <c:pt idx="51">
                  <c:v>1782</c:v>
                </c:pt>
                <c:pt idx="52">
                  <c:v>1783</c:v>
                </c:pt>
                <c:pt idx="53">
                  <c:v>1784</c:v>
                </c:pt>
                <c:pt idx="54">
                  <c:v>1785</c:v>
                </c:pt>
                <c:pt idx="55">
                  <c:v>1786</c:v>
                </c:pt>
                <c:pt idx="56">
                  <c:v>1787</c:v>
                </c:pt>
                <c:pt idx="57">
                  <c:v>1788</c:v>
                </c:pt>
                <c:pt idx="58">
                  <c:v>1789</c:v>
                </c:pt>
                <c:pt idx="59">
                  <c:v>1790</c:v>
                </c:pt>
                <c:pt idx="60">
                  <c:v>1791</c:v>
                </c:pt>
                <c:pt idx="61">
                  <c:v>1792</c:v>
                </c:pt>
                <c:pt idx="62">
                  <c:v>1793</c:v>
                </c:pt>
                <c:pt idx="63">
                  <c:v>1794</c:v>
                </c:pt>
                <c:pt idx="64">
                  <c:v>1795</c:v>
                </c:pt>
                <c:pt idx="65">
                  <c:v>1796</c:v>
                </c:pt>
                <c:pt idx="66">
                  <c:v>1797</c:v>
                </c:pt>
                <c:pt idx="67">
                  <c:v>1798</c:v>
                </c:pt>
                <c:pt idx="68">
                  <c:v>1799</c:v>
                </c:pt>
                <c:pt idx="69">
                  <c:v>1800</c:v>
                </c:pt>
                <c:pt idx="70">
                  <c:v>1801</c:v>
                </c:pt>
                <c:pt idx="71">
                  <c:v>1802</c:v>
                </c:pt>
                <c:pt idx="72">
                  <c:v>1803</c:v>
                </c:pt>
                <c:pt idx="73">
                  <c:v>1804</c:v>
                </c:pt>
                <c:pt idx="74">
                  <c:v>1805</c:v>
                </c:pt>
                <c:pt idx="75">
                  <c:v>1806</c:v>
                </c:pt>
                <c:pt idx="76">
                  <c:v>1807</c:v>
                </c:pt>
                <c:pt idx="77">
                  <c:v>1808</c:v>
                </c:pt>
                <c:pt idx="78">
                  <c:v>1809</c:v>
                </c:pt>
                <c:pt idx="79">
                  <c:v>1810</c:v>
                </c:pt>
                <c:pt idx="80">
                  <c:v>1811</c:v>
                </c:pt>
                <c:pt idx="81">
                  <c:v>1812</c:v>
                </c:pt>
                <c:pt idx="82">
                  <c:v>1813</c:v>
                </c:pt>
                <c:pt idx="83">
                  <c:v>1814</c:v>
                </c:pt>
                <c:pt idx="84">
                  <c:v>1815</c:v>
                </c:pt>
              </c:numCache>
            </c:numRef>
          </c:cat>
          <c:val>
            <c:numRef>
              <c:f>'figure 1'!$E$6:$E$90</c:f>
              <c:numCache>
                <c:formatCode>0;[Red]0</c:formatCode>
                <c:ptCount val="85"/>
                <c:pt idx="0">
                  <c:v>0.98300528665395004</c:v>
                </c:pt>
                <c:pt idx="4">
                  <c:v>0.84851131544025005</c:v>
                </c:pt>
                <c:pt idx="14">
                  <c:v>0.83102046808200003</c:v>
                </c:pt>
                <c:pt idx="31">
                  <c:v>0.87139559954299983</c:v>
                </c:pt>
                <c:pt idx="32">
                  <c:v>0.89690766899474983</c:v>
                </c:pt>
                <c:pt idx="33">
                  <c:v>0.76491085733999997</c:v>
                </c:pt>
                <c:pt idx="36">
                  <c:v>1.4721802783379996</c:v>
                </c:pt>
                <c:pt idx="46">
                  <c:v>1.0902856117722772</c:v>
                </c:pt>
                <c:pt idx="55">
                  <c:v>1.8709002099462895</c:v>
                </c:pt>
                <c:pt idx="56">
                  <c:v>3.1939000008771803</c:v>
                </c:pt>
                <c:pt idx="57">
                  <c:v>2.0953895561552729</c:v>
                </c:pt>
                <c:pt idx="58">
                  <c:v>1.8165807825575189</c:v>
                </c:pt>
                <c:pt idx="61">
                  <c:v>1.4117383374902346</c:v>
                </c:pt>
                <c:pt idx="62">
                  <c:v>1.920054868511111</c:v>
                </c:pt>
                <c:pt idx="63">
                  <c:v>1.6794559981156303</c:v>
                </c:pt>
                <c:pt idx="64">
                  <c:v>1.9627626976952053</c:v>
                </c:pt>
                <c:pt idx="65">
                  <c:v>2.2394596203657566</c:v>
                </c:pt>
                <c:pt idx="66">
                  <c:v>2.1732416819062501</c:v>
                </c:pt>
                <c:pt idx="67">
                  <c:v>1.8180124947591247</c:v>
                </c:pt>
                <c:pt idx="68">
                  <c:v>1.6847644369395696</c:v>
                </c:pt>
                <c:pt idx="69">
                  <c:v>2.0423437311529411</c:v>
                </c:pt>
                <c:pt idx="70">
                  <c:v>2.1583459881276132</c:v>
                </c:pt>
                <c:pt idx="71">
                  <c:v>1.9974308951739135</c:v>
                </c:pt>
                <c:pt idx="74">
                  <c:v>2.0862446175576919</c:v>
                </c:pt>
                <c:pt idx="75">
                  <c:v>2.3293383720615672</c:v>
                </c:pt>
                <c:pt idx="76">
                  <c:v>2.1963115784068794</c:v>
                </c:pt>
                <c:pt idx="78">
                  <c:v>1.998614855623319</c:v>
                </c:pt>
                <c:pt idx="79">
                  <c:v>1.7818557268743</c:v>
                </c:pt>
                <c:pt idx="84">
                  <c:v>1.4217656377679999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7-407F-BE53-44F7A1760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57776"/>
        <c:axId val="630258736"/>
      </c:lineChart>
      <c:catAx>
        <c:axId val="17582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200">
                    <a:solidFill>
                      <a:schemeClr val="tx1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01423"/>
        <c:crosses val="autoZero"/>
        <c:auto val="1"/>
        <c:lblAlgn val="ctr"/>
        <c:lblOffset val="100"/>
        <c:noMultiLvlLbl val="1"/>
      </c:catAx>
      <c:valAx>
        <c:axId val="175801423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600">
                    <a:solidFill>
                      <a:schemeClr val="tx1"/>
                    </a:solidFill>
                  </a:rPr>
                  <a:t>the</a:t>
                </a:r>
                <a:r>
                  <a:rPr lang="it-IT" sz="1600" baseline="0">
                    <a:solidFill>
                      <a:schemeClr val="tx1"/>
                    </a:solidFill>
                  </a:rPr>
                  <a:t> cost of a basket</a:t>
                </a:r>
                <a:endParaRPr lang="it-IT" sz="16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;[Red]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23503"/>
        <c:crosses val="autoZero"/>
        <c:crossBetween val="between"/>
      </c:valAx>
      <c:valAx>
        <c:axId val="630258736"/>
        <c:scaling>
          <c:orientation val="minMax"/>
          <c:max val="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/>
                  <a:t>the</a:t>
                </a:r>
                <a:r>
                  <a:rPr lang="it-IT" sz="1400" baseline="0"/>
                  <a:t> cost of a basket (silver)</a:t>
                </a:r>
                <a:endParaRPr lang="it-IT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;[Red]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257776"/>
        <c:crosses val="max"/>
        <c:crossBetween val="between"/>
      </c:valAx>
      <c:catAx>
        <c:axId val="63025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25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4'!$D$3</c:f>
              <c:strCache>
                <c:ptCount val="1"/>
                <c:pt idx="0">
                  <c:v>the costs of barebone basket (roubles)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4'!$C$4:$C$86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4'!$D$4:$D$86</c:f>
            </c:numRef>
          </c:yVal>
          <c:smooth val="0"/>
          <c:extLst>
            <c:ext xmlns:c16="http://schemas.microsoft.com/office/drawing/2014/chart" uri="{C3380CC4-5D6E-409C-BE32-E72D297353CC}">
              <c16:uniqueId val="{00000000-A9E0-4A22-8290-277974BCB94A}"/>
            </c:ext>
          </c:extLst>
        </c:ser>
        <c:ser>
          <c:idx val="1"/>
          <c:order val="1"/>
          <c:tx>
            <c:strRef>
              <c:f>'figure 4'!$E$3</c:f>
              <c:strCache>
                <c:ptCount val="1"/>
                <c:pt idx="0">
                  <c:v>skilled labour daily wages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4'!$C$4:$C$86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4'!$E$4:$E$86</c:f>
            </c:numRef>
          </c:yVal>
          <c:smooth val="0"/>
          <c:extLst>
            <c:ext xmlns:c16="http://schemas.microsoft.com/office/drawing/2014/chart" uri="{C3380CC4-5D6E-409C-BE32-E72D297353CC}">
              <c16:uniqueId val="{00000001-A9E0-4A22-8290-277974BCB94A}"/>
            </c:ext>
          </c:extLst>
        </c:ser>
        <c:ser>
          <c:idx val="2"/>
          <c:order val="2"/>
          <c:tx>
            <c:strRef>
              <c:f>'figure 4'!$F$3</c:f>
              <c:strCache>
                <c:ptCount val="1"/>
                <c:pt idx="0">
                  <c:v>labourer daily wages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4'!$C$4:$C$86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4'!$F$4:$F$86</c:f>
            </c:numRef>
          </c:yVal>
          <c:smooth val="0"/>
          <c:extLst>
            <c:ext xmlns:c16="http://schemas.microsoft.com/office/drawing/2014/chart" uri="{C3380CC4-5D6E-409C-BE32-E72D297353CC}">
              <c16:uniqueId val="{00000002-A9E0-4A22-8290-277974BCB94A}"/>
            </c:ext>
          </c:extLst>
        </c:ser>
        <c:ser>
          <c:idx val="3"/>
          <c:order val="3"/>
          <c:tx>
            <c:strRef>
              <c:f>'figure 4'!$G$3</c:f>
              <c:strCache>
                <c:ptCount val="1"/>
                <c:pt idx="0">
                  <c:v>Welfare ratio for skilled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xVal>
            <c:numRef>
              <c:f>'figure 4'!$C$4:$C$86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4'!$G$4:$G$86</c:f>
              <c:numCache>
                <c:formatCode>0.0</c:formatCode>
                <c:ptCount val="83"/>
                <c:pt idx="3">
                  <c:v>0.4014644397386577</c:v>
                </c:pt>
                <c:pt idx="34">
                  <c:v>1.6302351249464169</c:v>
                </c:pt>
                <c:pt idx="44">
                  <c:v>3.2899681622545791</c:v>
                </c:pt>
                <c:pt idx="56">
                  <c:v>1.8938695187744179</c:v>
                </c:pt>
                <c:pt idx="61">
                  <c:v>0.97549318004080821</c:v>
                </c:pt>
                <c:pt idx="62">
                  <c:v>0.52344445993415534</c:v>
                </c:pt>
                <c:pt idx="63">
                  <c:v>2.5943129771550377</c:v>
                </c:pt>
                <c:pt idx="64">
                  <c:v>1.2599129037933456</c:v>
                </c:pt>
                <c:pt idx="65">
                  <c:v>0.90336880035632383</c:v>
                </c:pt>
                <c:pt idx="67">
                  <c:v>2.9167758260586916</c:v>
                </c:pt>
                <c:pt idx="73">
                  <c:v>2.6431181024427475</c:v>
                </c:pt>
                <c:pt idx="76">
                  <c:v>4.5435054499067977</c:v>
                </c:pt>
                <c:pt idx="77">
                  <c:v>3.8197536968604093</c:v>
                </c:pt>
                <c:pt idx="82">
                  <c:v>5.2751310066644272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E0-4A22-8290-277974BCB94A}"/>
            </c:ext>
          </c:extLst>
        </c:ser>
        <c:ser>
          <c:idx val="4"/>
          <c:order val="4"/>
          <c:tx>
            <c:strRef>
              <c:f>'figure 4'!$H$3</c:f>
              <c:strCache>
                <c:ptCount val="1"/>
                <c:pt idx="0">
                  <c:v>welfare ratio for unskilled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31750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xVal>
            <c:numRef>
              <c:f>'figure 4'!$C$4:$C$86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4'!$H$4:$H$86</c:f>
              <c:numCache>
                <c:formatCode>0.0</c:formatCode>
                <c:ptCount val="83"/>
                <c:pt idx="9">
                  <c:v>0.32354705039011966</c:v>
                </c:pt>
                <c:pt idx="18">
                  <c:v>0.79724604053001913</c:v>
                </c:pt>
                <c:pt idx="29">
                  <c:v>0.79336335149718518</c:v>
                </c:pt>
                <c:pt idx="34">
                  <c:v>0.50944847654575531</c:v>
                </c:pt>
                <c:pt idx="44">
                  <c:v>2.406490875333716</c:v>
                </c:pt>
                <c:pt idx="53">
                  <c:v>0.7860324283871537</c:v>
                </c:pt>
                <c:pt idx="54">
                  <c:v>0.83593816709605528</c:v>
                </c:pt>
                <c:pt idx="55">
                  <c:v>0.93348681288052249</c:v>
                </c:pt>
                <c:pt idx="56">
                  <c:v>1.2499538823911156</c:v>
                </c:pt>
                <c:pt idx="61">
                  <c:v>1.5835928247415716</c:v>
                </c:pt>
                <c:pt idx="62">
                  <c:v>1.3086111498353883</c:v>
                </c:pt>
                <c:pt idx="63">
                  <c:v>1.179233171434108</c:v>
                </c:pt>
                <c:pt idx="64">
                  <c:v>0.95862938332102388</c:v>
                </c:pt>
                <c:pt idx="65">
                  <c:v>0.60224586690421589</c:v>
                </c:pt>
                <c:pt idx="66">
                  <c:v>0.96550923884287743</c:v>
                </c:pt>
                <c:pt idx="67">
                  <c:v>1.0920748172021206</c:v>
                </c:pt>
                <c:pt idx="73">
                  <c:v>1.9222677108674526</c:v>
                </c:pt>
                <c:pt idx="82">
                  <c:v>3.9246974689583336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E0-4A22-8290-277974BCB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893504"/>
        <c:axId val="1074893984"/>
      </c:scatterChart>
      <c:valAx>
        <c:axId val="1074893504"/>
        <c:scaling>
          <c:orientation val="minMax"/>
          <c:max val="1820"/>
          <c:min val="17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893984"/>
        <c:crosses val="autoZero"/>
        <c:crossBetween val="midCat"/>
        <c:majorUnit val="10"/>
      </c:valAx>
      <c:valAx>
        <c:axId val="107489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Welfare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893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5'!$B$5</c:f>
              <c:strCache>
                <c:ptCount val="1"/>
                <c:pt idx="0">
                  <c:v>1751 - 1775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5'!$C$4:$K$4</c:f>
              <c:strCache>
                <c:ptCount val="9"/>
                <c:pt idx="0">
                  <c:v>Moscow</c:v>
                </c:pt>
                <c:pt idx="1">
                  <c:v>London</c:v>
                </c:pt>
                <c:pt idx="2">
                  <c:v>Gdansk</c:v>
                </c:pt>
                <c:pt idx="3">
                  <c:v>Krakow</c:v>
                </c:pt>
                <c:pt idx="4">
                  <c:v>Florence</c:v>
                </c:pt>
                <c:pt idx="5">
                  <c:v>Genova</c:v>
                </c:pt>
                <c:pt idx="6">
                  <c:v>Milan</c:v>
                </c:pt>
                <c:pt idx="7">
                  <c:v>Beijing</c:v>
                </c:pt>
                <c:pt idx="8">
                  <c:v>Jamaica</c:v>
                </c:pt>
              </c:strCache>
            </c:strRef>
          </c:cat>
          <c:val>
            <c:numRef>
              <c:f>'figure 5'!$C$5:$K$5</c:f>
              <c:numCache>
                <c:formatCode>General</c:formatCode>
                <c:ptCount val="9"/>
                <c:pt idx="0">
                  <c:v>1.24</c:v>
                </c:pt>
                <c:pt idx="1">
                  <c:v>3.5</c:v>
                </c:pt>
                <c:pt idx="2">
                  <c:v>2.2000000000000002</c:v>
                </c:pt>
                <c:pt idx="3">
                  <c:v>2</c:v>
                </c:pt>
                <c:pt idx="4">
                  <c:v>0.71</c:v>
                </c:pt>
                <c:pt idx="5">
                  <c:v>0.56000000000000005</c:v>
                </c:pt>
                <c:pt idx="6">
                  <c:v>0.71</c:v>
                </c:pt>
                <c:pt idx="7">
                  <c:v>1</c:v>
                </c:pt>
                <c:pt idx="8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5-4E43-89F5-8CE3107EC073}"/>
            </c:ext>
          </c:extLst>
        </c:ser>
        <c:ser>
          <c:idx val="1"/>
          <c:order val="1"/>
          <c:tx>
            <c:strRef>
              <c:f>'figure 5'!$B$6</c:f>
              <c:strCache>
                <c:ptCount val="1"/>
                <c:pt idx="0">
                  <c:v>1776 - 1800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5'!$C$4:$K$4</c:f>
              <c:strCache>
                <c:ptCount val="9"/>
                <c:pt idx="0">
                  <c:v>Moscow</c:v>
                </c:pt>
                <c:pt idx="1">
                  <c:v>London</c:v>
                </c:pt>
                <c:pt idx="2">
                  <c:v>Gdansk</c:v>
                </c:pt>
                <c:pt idx="3">
                  <c:v>Krakow</c:v>
                </c:pt>
                <c:pt idx="4">
                  <c:v>Florence</c:v>
                </c:pt>
                <c:pt idx="5">
                  <c:v>Genova</c:v>
                </c:pt>
                <c:pt idx="6">
                  <c:v>Milan</c:v>
                </c:pt>
                <c:pt idx="7">
                  <c:v>Beijing</c:v>
                </c:pt>
                <c:pt idx="8">
                  <c:v>Jamaica</c:v>
                </c:pt>
              </c:strCache>
            </c:strRef>
          </c:cat>
          <c:val>
            <c:numRef>
              <c:f>'figure 5'!$C$6:$K$6</c:f>
              <c:numCache>
                <c:formatCode>General</c:formatCode>
                <c:ptCount val="9"/>
                <c:pt idx="0">
                  <c:v>1.05</c:v>
                </c:pt>
                <c:pt idx="1">
                  <c:v>2.5</c:v>
                </c:pt>
                <c:pt idx="2">
                  <c:v>2</c:v>
                </c:pt>
                <c:pt idx="3">
                  <c:v>1.8</c:v>
                </c:pt>
                <c:pt idx="4">
                  <c:v>0.6</c:v>
                </c:pt>
                <c:pt idx="5">
                  <c:v>0.48</c:v>
                </c:pt>
                <c:pt idx="6">
                  <c:v>0.51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5-4E43-89F5-8CE3107EC073}"/>
            </c:ext>
          </c:extLst>
        </c:ser>
        <c:ser>
          <c:idx val="2"/>
          <c:order val="2"/>
          <c:tx>
            <c:strRef>
              <c:f>'figure 5'!$B$7</c:f>
              <c:strCache>
                <c:ptCount val="1"/>
                <c:pt idx="0">
                  <c:v>1800-1825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5'!$C$4:$K$4</c:f>
              <c:strCache>
                <c:ptCount val="9"/>
                <c:pt idx="0">
                  <c:v>Moscow</c:v>
                </c:pt>
                <c:pt idx="1">
                  <c:v>London</c:v>
                </c:pt>
                <c:pt idx="2">
                  <c:v>Gdansk</c:v>
                </c:pt>
                <c:pt idx="3">
                  <c:v>Krakow</c:v>
                </c:pt>
                <c:pt idx="4">
                  <c:v>Florence</c:v>
                </c:pt>
                <c:pt idx="5">
                  <c:v>Genova</c:v>
                </c:pt>
                <c:pt idx="6">
                  <c:v>Milan</c:v>
                </c:pt>
                <c:pt idx="7">
                  <c:v>Beijing</c:v>
                </c:pt>
                <c:pt idx="8">
                  <c:v>Jamaica</c:v>
                </c:pt>
              </c:strCache>
            </c:strRef>
          </c:cat>
          <c:val>
            <c:numRef>
              <c:f>'figure 5'!$C$7:$K$7</c:f>
              <c:numCache>
                <c:formatCode>General</c:formatCode>
                <c:ptCount val="9"/>
                <c:pt idx="0">
                  <c:v>2.92</c:v>
                </c:pt>
                <c:pt idx="4">
                  <c:v>0.53</c:v>
                </c:pt>
                <c:pt idx="5">
                  <c:v>0.54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B-44FD-9434-D31B2CE60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395592"/>
        <c:axId val="1159394280"/>
      </c:barChart>
      <c:catAx>
        <c:axId val="115939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394280"/>
        <c:crosses val="autoZero"/>
        <c:auto val="1"/>
        <c:lblAlgn val="ctr"/>
        <c:lblOffset val="100"/>
        <c:noMultiLvlLbl val="0"/>
      </c:catAx>
      <c:valAx>
        <c:axId val="115939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200">
                    <a:solidFill>
                      <a:schemeClr val="tx1"/>
                    </a:solidFill>
                  </a:rPr>
                  <a:t>Welfare</a:t>
                </a:r>
                <a:r>
                  <a:rPr lang="it-IT" sz="1200" baseline="0">
                    <a:solidFill>
                      <a:schemeClr val="tx1"/>
                    </a:solidFill>
                  </a:rPr>
                  <a:t> ratio</a:t>
                </a:r>
                <a:endParaRPr lang="it-IT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39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6'!$H$2</c:f>
              <c:strCache>
                <c:ptCount val="1"/>
                <c:pt idx="0">
                  <c:v>the costs of barebone basket (roubles)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6'!$G$3:$G$85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6'!$H$3:$H$85</c:f>
            </c:numRef>
          </c:yVal>
          <c:smooth val="0"/>
          <c:extLst>
            <c:ext xmlns:c16="http://schemas.microsoft.com/office/drawing/2014/chart" uri="{C3380CC4-5D6E-409C-BE32-E72D297353CC}">
              <c16:uniqueId val="{00000000-1BF3-478D-B259-BA12A27A39BC}"/>
            </c:ext>
          </c:extLst>
        </c:ser>
        <c:ser>
          <c:idx val="1"/>
          <c:order val="1"/>
          <c:tx>
            <c:strRef>
              <c:f>'Figure 6'!$I$2</c:f>
              <c:strCache>
                <c:ptCount val="1"/>
                <c:pt idx="0">
                  <c:v>skilled labour daily wages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6'!$G$3:$G$85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6'!$I$3:$I$85</c:f>
            </c:numRef>
          </c:yVal>
          <c:smooth val="0"/>
          <c:extLst>
            <c:ext xmlns:c16="http://schemas.microsoft.com/office/drawing/2014/chart" uri="{C3380CC4-5D6E-409C-BE32-E72D297353CC}">
              <c16:uniqueId val="{00000001-1BF3-478D-B259-BA12A27A39BC}"/>
            </c:ext>
          </c:extLst>
        </c:ser>
        <c:ser>
          <c:idx val="2"/>
          <c:order val="2"/>
          <c:tx>
            <c:strRef>
              <c:f>'Figure 6'!$J$2</c:f>
              <c:strCache>
                <c:ptCount val="1"/>
                <c:pt idx="0">
                  <c:v>labourer daily wages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6'!$G$3:$G$85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6'!$J$3:$J$85</c:f>
            </c:numRef>
          </c:yVal>
          <c:smooth val="0"/>
          <c:extLst>
            <c:ext xmlns:c16="http://schemas.microsoft.com/office/drawing/2014/chart" uri="{C3380CC4-5D6E-409C-BE32-E72D297353CC}">
              <c16:uniqueId val="{00000002-1BF3-478D-B259-BA12A27A39BC}"/>
            </c:ext>
          </c:extLst>
        </c:ser>
        <c:ser>
          <c:idx val="3"/>
          <c:order val="3"/>
          <c:tx>
            <c:strRef>
              <c:f>'Figure 6'!$K$2</c:f>
              <c:strCache>
                <c:ptCount val="1"/>
                <c:pt idx="0">
                  <c:v>number of days to earn subsistence for skilled labour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xVal>
            <c:numRef>
              <c:f>'Figure 6'!$G$3:$G$85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6'!$K$3:$K$85</c:f>
              <c:numCache>
                <c:formatCode>0</c:formatCode>
                <c:ptCount val="83"/>
                <c:pt idx="3">
                  <c:v>622.72015963043486</c:v>
                </c:pt>
                <c:pt idx="34">
                  <c:v>153.35211232687499</c:v>
                </c:pt>
                <c:pt idx="44">
                  <c:v>75.988577296346151</c:v>
                </c:pt>
                <c:pt idx="56">
                  <c:v>132.00487019917972</c:v>
                </c:pt>
                <c:pt idx="61">
                  <c:v>256.2806230890734</c:v>
                </c:pt>
                <c:pt idx="62">
                  <c:v>477.60558977249997</c:v>
                </c:pt>
                <c:pt idx="63">
                  <c:v>96.364626088465897</c:v>
                </c:pt>
                <c:pt idx="64">
                  <c:v>198.42641443491848</c:v>
                </c:pt>
                <c:pt idx="65">
                  <c:v>276.74190198000008</c:v>
                </c:pt>
                <c:pt idx="67">
                  <c:v>85.711077884862263</c:v>
                </c:pt>
                <c:pt idx="73">
                  <c:v>94.585255107954538</c:v>
                </c:pt>
                <c:pt idx="76">
                  <c:v>55.023594173333343</c:v>
                </c:pt>
                <c:pt idx="77">
                  <c:v>65.449246166181823</c:v>
                </c:pt>
                <c:pt idx="82">
                  <c:v>47.392187925599998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F3-478D-B259-BA12A27A39BC}"/>
            </c:ext>
          </c:extLst>
        </c:ser>
        <c:ser>
          <c:idx val="4"/>
          <c:order val="4"/>
          <c:tx>
            <c:strRef>
              <c:f>'Figure 6'!$L$2</c:f>
              <c:strCache>
                <c:ptCount val="1"/>
                <c:pt idx="0">
                  <c:v>number of days to earn subsistence for unskilled labour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2857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xVal>
            <c:numRef>
              <c:f>'Figure 6'!$G$3:$G$85</c:f>
              <c:numCache>
                <c:formatCode>General</c:formatCode>
                <c:ptCount val="83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</c:numCache>
            </c:numRef>
          </c:xVal>
          <c:yVal>
            <c:numRef>
              <c:f>'Figure 6'!$L$3:$L$85</c:f>
              <c:numCache>
                <c:formatCode>0</c:formatCode>
                <c:ptCount val="83"/>
                <c:pt idx="9">
                  <c:v>772.68514640625006</c:v>
                </c:pt>
                <c:pt idx="18">
                  <c:v>313.5794814782609</c:v>
                </c:pt>
                <c:pt idx="29">
                  <c:v>315.11412712499992</c:v>
                </c:pt>
                <c:pt idx="34">
                  <c:v>490.7267594459999</c:v>
                </c:pt>
                <c:pt idx="44">
                  <c:v>103.88570451792454</c:v>
                </c:pt>
                <c:pt idx="53">
                  <c:v>318.05303569086919</c:v>
                </c:pt>
                <c:pt idx="54">
                  <c:v>299.06518190031773</c:v>
                </c:pt>
                <c:pt idx="55">
                  <c:v>267.8131030352302</c:v>
                </c:pt>
                <c:pt idx="56">
                  <c:v>200.00737908966627</c:v>
                </c:pt>
                <c:pt idx="61">
                  <c:v>157.86886382286923</c:v>
                </c:pt>
                <c:pt idx="63">
                  <c:v>212.00217739462499</c:v>
                </c:pt>
                <c:pt idx="65">
                  <c:v>415.11285297000006</c:v>
                </c:pt>
                <c:pt idx="67">
                  <c:v>228.92204459076919</c:v>
                </c:pt>
                <c:pt idx="73">
                  <c:v>130.0547257734375</c:v>
                </c:pt>
                <c:pt idx="82">
                  <c:v>63.699177319354831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F3-478D-B259-BA12A27A3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772944"/>
        <c:axId val="963775824"/>
      </c:scatterChart>
      <c:valAx>
        <c:axId val="963772944"/>
        <c:scaling>
          <c:orientation val="minMax"/>
          <c:max val="1820"/>
          <c:min val="17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775824"/>
        <c:crosses val="autoZero"/>
        <c:crossBetween val="midCat"/>
        <c:majorUnit val="10"/>
      </c:valAx>
      <c:valAx>
        <c:axId val="963775824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>
                    <a:solidFill>
                      <a:schemeClr val="tx1"/>
                    </a:solidFill>
                  </a:rPr>
                  <a:t>Days</a:t>
                </a:r>
                <a:r>
                  <a:rPr lang="it-IT" sz="1400" baseline="0">
                    <a:solidFill>
                      <a:schemeClr val="tx1"/>
                    </a:solidFill>
                  </a:rPr>
                  <a:t> to earn subsistence basket</a:t>
                </a:r>
                <a:endParaRPr lang="it-IT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77294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8'!$D$2</c:f>
              <c:strCache>
                <c:ptCount val="1"/>
                <c:pt idx="0">
                  <c:v>the costs of barebone basket (roubles)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8'!$D$3:$D$141</c:f>
            </c:numRef>
          </c:yVal>
          <c:smooth val="0"/>
          <c:extLst>
            <c:ext xmlns:c16="http://schemas.microsoft.com/office/drawing/2014/chart" uri="{C3380CC4-5D6E-409C-BE32-E72D297353CC}">
              <c16:uniqueId val="{00000000-1B8B-458D-A587-CFC1FC1EF049}"/>
            </c:ext>
          </c:extLst>
        </c:ser>
        <c:ser>
          <c:idx val="1"/>
          <c:order val="1"/>
          <c:tx>
            <c:strRef>
              <c:f>'Figure 8'!$E$2</c:f>
              <c:strCache>
                <c:ptCount val="1"/>
                <c:pt idx="0">
                  <c:v>skilled labour daily wages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8'!$E$3:$E$141</c:f>
            </c:numRef>
          </c:yVal>
          <c:smooth val="0"/>
          <c:extLst>
            <c:ext xmlns:c16="http://schemas.microsoft.com/office/drawing/2014/chart" uri="{C3380CC4-5D6E-409C-BE32-E72D297353CC}">
              <c16:uniqueId val="{00000001-1B8B-458D-A587-CFC1FC1EF049}"/>
            </c:ext>
          </c:extLst>
        </c:ser>
        <c:ser>
          <c:idx val="2"/>
          <c:order val="2"/>
          <c:tx>
            <c:strRef>
              <c:f>'Figure 8'!$F$2</c:f>
              <c:strCache>
                <c:ptCount val="1"/>
                <c:pt idx="0">
                  <c:v>labourer daily wages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8'!$F$3:$F$141</c:f>
            </c:numRef>
          </c:yVal>
          <c:smooth val="0"/>
          <c:extLst>
            <c:ext xmlns:c16="http://schemas.microsoft.com/office/drawing/2014/chart" uri="{C3380CC4-5D6E-409C-BE32-E72D297353CC}">
              <c16:uniqueId val="{00000002-1B8B-458D-A587-CFC1FC1EF049}"/>
            </c:ext>
          </c:extLst>
        </c:ser>
        <c:ser>
          <c:idx val="3"/>
          <c:order val="3"/>
          <c:tx>
            <c:strRef>
              <c:f>'Figure 8'!$G$2</c:f>
              <c:strCache>
                <c:ptCount val="1"/>
                <c:pt idx="0">
                  <c:v>Welfare ratio of skilled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8'!$G$3:$G$141</c:f>
              <c:numCache>
                <c:formatCode>General</c:formatCode>
                <c:ptCount val="139"/>
                <c:pt idx="3">
                  <c:v>0.4014644397386577</c:v>
                </c:pt>
                <c:pt idx="34">
                  <c:v>1.6302351249464169</c:v>
                </c:pt>
                <c:pt idx="44">
                  <c:v>3.2899681622545791</c:v>
                </c:pt>
                <c:pt idx="56">
                  <c:v>1.8938695187744179</c:v>
                </c:pt>
                <c:pt idx="61">
                  <c:v>0.97549318004080821</c:v>
                </c:pt>
                <c:pt idx="62">
                  <c:v>0.52344445993415534</c:v>
                </c:pt>
                <c:pt idx="63">
                  <c:v>2.5943129771550377</c:v>
                </c:pt>
                <c:pt idx="64">
                  <c:v>1.2599129037933456</c:v>
                </c:pt>
                <c:pt idx="65">
                  <c:v>0.90336880035632383</c:v>
                </c:pt>
                <c:pt idx="67">
                  <c:v>2.9167758260586916</c:v>
                </c:pt>
                <c:pt idx="73">
                  <c:v>2.6431181024427475</c:v>
                </c:pt>
                <c:pt idx="76">
                  <c:v>4.5435054499067977</c:v>
                </c:pt>
                <c:pt idx="77">
                  <c:v>3.8197536968604093</c:v>
                </c:pt>
                <c:pt idx="82">
                  <c:v>5.2751310066644272</c:v>
                </c:pt>
                <c:pt idx="90">
                  <c:v>1.8035287327891831</c:v>
                </c:pt>
                <c:pt idx="99">
                  <c:v>1.7378769893540058</c:v>
                </c:pt>
                <c:pt idx="117">
                  <c:v>2.0437407654453024</c:v>
                </c:pt>
                <c:pt idx="118">
                  <c:v>2.2580995342443027</c:v>
                </c:pt>
                <c:pt idx="122">
                  <c:v>3.1399233562793234</c:v>
                </c:pt>
                <c:pt idx="128">
                  <c:v>4.6285013412695051</c:v>
                </c:pt>
                <c:pt idx="129">
                  <c:v>3.4125014732851935</c:v>
                </c:pt>
                <c:pt idx="130">
                  <c:v>3.4158926314854785</c:v>
                </c:pt>
                <c:pt idx="134">
                  <c:v>3.2562658134153524</c:v>
                </c:pt>
                <c:pt idx="135">
                  <c:v>3.621838122223072</c:v>
                </c:pt>
                <c:pt idx="137">
                  <c:v>3.0411488901367623</c:v>
                </c:pt>
                <c:pt idx="138">
                  <c:v>3.3086791989689215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58D-A587-CFC1FC1EF049}"/>
            </c:ext>
          </c:extLst>
        </c:ser>
        <c:ser>
          <c:idx val="4"/>
          <c:order val="4"/>
          <c:tx>
            <c:strRef>
              <c:f>'Figure 8'!$H$2</c:f>
              <c:strCache>
                <c:ptCount val="1"/>
                <c:pt idx="0">
                  <c:v>welfare ratio of unskilled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65000"/>
                </a:schemeClr>
              </a:solidFill>
              <a:ln w="31750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8'!$H$3:$H$141</c:f>
              <c:numCache>
                <c:formatCode>General</c:formatCode>
                <c:ptCount val="139"/>
                <c:pt idx="9">
                  <c:v>0.32354705039011966</c:v>
                </c:pt>
                <c:pt idx="18">
                  <c:v>0.79724604053001913</c:v>
                </c:pt>
                <c:pt idx="29">
                  <c:v>0.79336335149718518</c:v>
                </c:pt>
                <c:pt idx="34">
                  <c:v>0.50944847654575531</c:v>
                </c:pt>
                <c:pt idx="44">
                  <c:v>2.406490875333716</c:v>
                </c:pt>
                <c:pt idx="53">
                  <c:v>0.7860324283871537</c:v>
                </c:pt>
                <c:pt idx="54">
                  <c:v>0.83593816709605528</c:v>
                </c:pt>
                <c:pt idx="55">
                  <c:v>0.93348681288052249</c:v>
                </c:pt>
                <c:pt idx="56">
                  <c:v>1.2499538823911156</c:v>
                </c:pt>
                <c:pt idx="61">
                  <c:v>1.5835928247415716</c:v>
                </c:pt>
                <c:pt idx="62">
                  <c:v>1.3086111498353883</c:v>
                </c:pt>
                <c:pt idx="63">
                  <c:v>1.179233171434108</c:v>
                </c:pt>
                <c:pt idx="64">
                  <c:v>0.95862938332102388</c:v>
                </c:pt>
                <c:pt idx="65">
                  <c:v>0.60224586690421589</c:v>
                </c:pt>
                <c:pt idx="66">
                  <c:v>0.96550923884287743</c:v>
                </c:pt>
                <c:pt idx="67">
                  <c:v>1.0920748172021206</c:v>
                </c:pt>
                <c:pt idx="73">
                  <c:v>1.9222677108674526</c:v>
                </c:pt>
                <c:pt idx="82">
                  <c:v>3.9246974689583336</c:v>
                </c:pt>
                <c:pt idx="90">
                  <c:v>0.77294088548107842</c:v>
                </c:pt>
                <c:pt idx="99">
                  <c:v>0.82320488969400274</c:v>
                </c:pt>
                <c:pt idx="117">
                  <c:v>1.1354115363585013</c:v>
                </c:pt>
                <c:pt idx="118">
                  <c:v>1.3548597205465815</c:v>
                </c:pt>
                <c:pt idx="122">
                  <c:v>1.8470137389878372</c:v>
                </c:pt>
                <c:pt idx="128">
                  <c:v>3.1557963690473896</c:v>
                </c:pt>
                <c:pt idx="129">
                  <c:v>2.1715918466360322</c:v>
                </c:pt>
                <c:pt idx="130">
                  <c:v>2.1737498563998496</c:v>
                </c:pt>
                <c:pt idx="134">
                  <c:v>2.4236450461313468</c:v>
                </c:pt>
                <c:pt idx="135">
                  <c:v>2.4250022742219595</c:v>
                </c:pt>
                <c:pt idx="136">
                  <c:v>5.2951010077544396</c:v>
                </c:pt>
                <c:pt idx="137">
                  <c:v>2.2863709071528517</c:v>
                </c:pt>
                <c:pt idx="138">
                  <c:v>2.5092667965177027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58D-A587-CFC1FC1EF049}"/>
            </c:ext>
          </c:extLst>
        </c:ser>
        <c:ser>
          <c:idx val="5"/>
          <c:order val="5"/>
          <c:tx>
            <c:strRef>
              <c:f>'Figure 8'!$I$2</c:f>
              <c:strCache>
                <c:ptCount val="1"/>
                <c:pt idx="0">
                  <c:v>Welfare ratio of skilled (Allen Khaustova)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8'!$I$3:$I$141</c:f>
              <c:numCache>
                <c:formatCode>General</c:formatCode>
                <c:ptCount val="139"/>
                <c:pt idx="117">
                  <c:v>0.6</c:v>
                </c:pt>
                <c:pt idx="118">
                  <c:v>0.55000000000000004</c:v>
                </c:pt>
                <c:pt idx="122">
                  <c:v>1.3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4">
                  <c:v>1.5</c:v>
                </c:pt>
                <c:pt idx="135">
                  <c:v>1.6</c:v>
                </c:pt>
                <c:pt idx="136">
                  <c:v>1.7</c:v>
                </c:pt>
                <c:pt idx="137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58D-A587-CFC1FC1EF049}"/>
            </c:ext>
          </c:extLst>
        </c:ser>
        <c:ser>
          <c:idx val="6"/>
          <c:order val="6"/>
          <c:tx>
            <c:strRef>
              <c:f>'Figure 8'!$J$2</c:f>
              <c:strCache>
                <c:ptCount val="1"/>
                <c:pt idx="0">
                  <c:v>Welfare ratio of unskilled (Allen Khaustova)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50000"/>
                </a:schemeClr>
              </a:solidFill>
              <a:ln w="3175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'Figure 8'!$C$3:$C$141</c:f>
              <c:numCache>
                <c:formatCode>General</c:formatCode>
                <c:ptCount val="139"/>
                <c:pt idx="0">
                  <c:v>1701</c:v>
                </c:pt>
                <c:pt idx="1">
                  <c:v>1704</c:v>
                </c:pt>
                <c:pt idx="2">
                  <c:v>1708</c:v>
                </c:pt>
                <c:pt idx="3">
                  <c:v>1718</c:v>
                </c:pt>
                <c:pt idx="4">
                  <c:v>1722</c:v>
                </c:pt>
                <c:pt idx="5">
                  <c:v>1724</c:v>
                </c:pt>
                <c:pt idx="6">
                  <c:v>1726</c:v>
                </c:pt>
                <c:pt idx="7">
                  <c:v>1726</c:v>
                </c:pt>
                <c:pt idx="8">
                  <c:v>1727</c:v>
                </c:pt>
                <c:pt idx="9">
                  <c:v>1728</c:v>
                </c:pt>
                <c:pt idx="10">
                  <c:v>1729</c:v>
                </c:pt>
                <c:pt idx="11">
                  <c:v>1730</c:v>
                </c:pt>
                <c:pt idx="12">
                  <c:v>1731</c:v>
                </c:pt>
                <c:pt idx="13">
                  <c:v>1732</c:v>
                </c:pt>
                <c:pt idx="14">
                  <c:v>1733</c:v>
                </c:pt>
                <c:pt idx="15">
                  <c:v>1734</c:v>
                </c:pt>
                <c:pt idx="16">
                  <c:v>1736</c:v>
                </c:pt>
                <c:pt idx="17">
                  <c:v>1737</c:v>
                </c:pt>
                <c:pt idx="18">
                  <c:v>1738</c:v>
                </c:pt>
                <c:pt idx="19">
                  <c:v>1739</c:v>
                </c:pt>
                <c:pt idx="20">
                  <c:v>1740</c:v>
                </c:pt>
                <c:pt idx="21">
                  <c:v>1741</c:v>
                </c:pt>
                <c:pt idx="22">
                  <c:v>1749</c:v>
                </c:pt>
                <c:pt idx="23">
                  <c:v>1756</c:v>
                </c:pt>
                <c:pt idx="24">
                  <c:v>1757</c:v>
                </c:pt>
                <c:pt idx="25">
                  <c:v>1758</c:v>
                </c:pt>
                <c:pt idx="26">
                  <c:v>1759</c:v>
                </c:pt>
                <c:pt idx="27">
                  <c:v>1760</c:v>
                </c:pt>
                <c:pt idx="28">
                  <c:v>1761</c:v>
                </c:pt>
                <c:pt idx="29">
                  <c:v>1762</c:v>
                </c:pt>
                <c:pt idx="30">
                  <c:v>1763</c:v>
                </c:pt>
                <c:pt idx="31">
                  <c:v>1764</c:v>
                </c:pt>
                <c:pt idx="32">
                  <c:v>1765</c:v>
                </c:pt>
                <c:pt idx="33">
                  <c:v>1766</c:v>
                </c:pt>
                <c:pt idx="34">
                  <c:v>1767</c:v>
                </c:pt>
                <c:pt idx="35">
                  <c:v>1768</c:v>
                </c:pt>
                <c:pt idx="36">
                  <c:v>1769</c:v>
                </c:pt>
                <c:pt idx="37">
                  <c:v>1770</c:v>
                </c:pt>
                <c:pt idx="38">
                  <c:v>1771</c:v>
                </c:pt>
                <c:pt idx="39">
                  <c:v>1772</c:v>
                </c:pt>
                <c:pt idx="40">
                  <c:v>1773</c:v>
                </c:pt>
                <c:pt idx="41">
                  <c:v>1774</c:v>
                </c:pt>
                <c:pt idx="42">
                  <c:v>1775</c:v>
                </c:pt>
                <c:pt idx="43">
                  <c:v>1776</c:v>
                </c:pt>
                <c:pt idx="44">
                  <c:v>1777</c:v>
                </c:pt>
                <c:pt idx="45">
                  <c:v>1778</c:v>
                </c:pt>
                <c:pt idx="46">
                  <c:v>1779</c:v>
                </c:pt>
                <c:pt idx="47">
                  <c:v>1780</c:v>
                </c:pt>
                <c:pt idx="48">
                  <c:v>1781</c:v>
                </c:pt>
                <c:pt idx="49">
                  <c:v>1782</c:v>
                </c:pt>
                <c:pt idx="50">
                  <c:v>1783</c:v>
                </c:pt>
                <c:pt idx="51">
                  <c:v>1784</c:v>
                </c:pt>
                <c:pt idx="52">
                  <c:v>1785</c:v>
                </c:pt>
                <c:pt idx="53">
                  <c:v>1786</c:v>
                </c:pt>
                <c:pt idx="54">
                  <c:v>1787</c:v>
                </c:pt>
                <c:pt idx="55">
                  <c:v>1788</c:v>
                </c:pt>
                <c:pt idx="56">
                  <c:v>1789</c:v>
                </c:pt>
                <c:pt idx="57">
                  <c:v>1790</c:v>
                </c:pt>
                <c:pt idx="58">
                  <c:v>1791</c:v>
                </c:pt>
                <c:pt idx="59">
                  <c:v>1792</c:v>
                </c:pt>
                <c:pt idx="60">
                  <c:v>1793</c:v>
                </c:pt>
                <c:pt idx="61">
                  <c:v>1794</c:v>
                </c:pt>
                <c:pt idx="62">
                  <c:v>1795</c:v>
                </c:pt>
                <c:pt idx="63">
                  <c:v>1796</c:v>
                </c:pt>
                <c:pt idx="64">
                  <c:v>1797</c:v>
                </c:pt>
                <c:pt idx="65">
                  <c:v>1798</c:v>
                </c:pt>
                <c:pt idx="66">
                  <c:v>1799</c:v>
                </c:pt>
                <c:pt idx="67">
                  <c:v>1800</c:v>
                </c:pt>
                <c:pt idx="68">
                  <c:v>1801</c:v>
                </c:pt>
                <c:pt idx="69">
                  <c:v>1802</c:v>
                </c:pt>
                <c:pt idx="70">
                  <c:v>1803</c:v>
                </c:pt>
                <c:pt idx="71">
                  <c:v>1804</c:v>
                </c:pt>
                <c:pt idx="72">
                  <c:v>1805</c:v>
                </c:pt>
                <c:pt idx="73">
                  <c:v>1806</c:v>
                </c:pt>
                <c:pt idx="74">
                  <c:v>1807</c:v>
                </c:pt>
                <c:pt idx="75">
                  <c:v>1808</c:v>
                </c:pt>
                <c:pt idx="76">
                  <c:v>1809</c:v>
                </c:pt>
                <c:pt idx="77">
                  <c:v>1810</c:v>
                </c:pt>
                <c:pt idx="78">
                  <c:v>1811</c:v>
                </c:pt>
                <c:pt idx="79">
                  <c:v>1812</c:v>
                </c:pt>
                <c:pt idx="80">
                  <c:v>1813</c:v>
                </c:pt>
                <c:pt idx="81">
                  <c:v>1814</c:v>
                </c:pt>
                <c:pt idx="82">
                  <c:v>1815</c:v>
                </c:pt>
                <c:pt idx="83">
                  <c:v>1816</c:v>
                </c:pt>
                <c:pt idx="84">
                  <c:v>1817</c:v>
                </c:pt>
                <c:pt idx="85">
                  <c:v>1818</c:v>
                </c:pt>
                <c:pt idx="86">
                  <c:v>1819</c:v>
                </c:pt>
                <c:pt idx="87">
                  <c:v>1824</c:v>
                </c:pt>
                <c:pt idx="88">
                  <c:v>1825</c:v>
                </c:pt>
                <c:pt idx="89">
                  <c:v>1826</c:v>
                </c:pt>
                <c:pt idx="90">
                  <c:v>1827</c:v>
                </c:pt>
                <c:pt idx="91">
                  <c:v>1828</c:v>
                </c:pt>
                <c:pt idx="92">
                  <c:v>1829</c:v>
                </c:pt>
                <c:pt idx="93">
                  <c:v>1830</c:v>
                </c:pt>
                <c:pt idx="94">
                  <c:v>1831</c:v>
                </c:pt>
                <c:pt idx="95">
                  <c:v>1832</c:v>
                </c:pt>
                <c:pt idx="96">
                  <c:v>1833</c:v>
                </c:pt>
                <c:pt idx="97">
                  <c:v>1834</c:v>
                </c:pt>
                <c:pt idx="98">
                  <c:v>1835</c:v>
                </c:pt>
                <c:pt idx="99">
                  <c:v>1836</c:v>
                </c:pt>
                <c:pt idx="100">
                  <c:v>1837</c:v>
                </c:pt>
                <c:pt idx="101">
                  <c:v>1838</c:v>
                </c:pt>
                <c:pt idx="102">
                  <c:v>1839</c:v>
                </c:pt>
                <c:pt idx="103">
                  <c:v>1840</c:v>
                </c:pt>
                <c:pt idx="104">
                  <c:v>1841</c:v>
                </c:pt>
                <c:pt idx="105">
                  <c:v>1842</c:v>
                </c:pt>
                <c:pt idx="106">
                  <c:v>1843</c:v>
                </c:pt>
                <c:pt idx="107">
                  <c:v>1844</c:v>
                </c:pt>
                <c:pt idx="108">
                  <c:v>1845</c:v>
                </c:pt>
                <c:pt idx="109">
                  <c:v>1846</c:v>
                </c:pt>
                <c:pt idx="110">
                  <c:v>1847</c:v>
                </c:pt>
                <c:pt idx="111">
                  <c:v>1848</c:v>
                </c:pt>
                <c:pt idx="112">
                  <c:v>1849</c:v>
                </c:pt>
                <c:pt idx="113">
                  <c:v>1850</c:v>
                </c:pt>
                <c:pt idx="114">
                  <c:v>1851</c:v>
                </c:pt>
                <c:pt idx="115">
                  <c:v>1852</c:v>
                </c:pt>
                <c:pt idx="116">
                  <c:v>1853</c:v>
                </c:pt>
                <c:pt idx="117">
                  <c:v>1854</c:v>
                </c:pt>
                <c:pt idx="118">
                  <c:v>1855</c:v>
                </c:pt>
                <c:pt idx="119">
                  <c:v>1856</c:v>
                </c:pt>
                <c:pt idx="120">
                  <c:v>1857</c:v>
                </c:pt>
                <c:pt idx="121">
                  <c:v>1858</c:v>
                </c:pt>
                <c:pt idx="122">
                  <c:v>1859</c:v>
                </c:pt>
                <c:pt idx="123">
                  <c:v>1860</c:v>
                </c:pt>
                <c:pt idx="124">
                  <c:v>1861</c:v>
                </c:pt>
                <c:pt idx="125">
                  <c:v>1862</c:v>
                </c:pt>
                <c:pt idx="126">
                  <c:v>1863</c:v>
                </c:pt>
                <c:pt idx="127">
                  <c:v>1864</c:v>
                </c:pt>
                <c:pt idx="128">
                  <c:v>1865</c:v>
                </c:pt>
                <c:pt idx="129">
                  <c:v>1866</c:v>
                </c:pt>
                <c:pt idx="130">
                  <c:v>1867</c:v>
                </c:pt>
                <c:pt idx="131">
                  <c:v>1868</c:v>
                </c:pt>
                <c:pt idx="132">
                  <c:v>1869</c:v>
                </c:pt>
                <c:pt idx="133">
                  <c:v>1870</c:v>
                </c:pt>
                <c:pt idx="134">
                  <c:v>1871</c:v>
                </c:pt>
                <c:pt idx="135">
                  <c:v>1872</c:v>
                </c:pt>
                <c:pt idx="136">
                  <c:v>1873</c:v>
                </c:pt>
                <c:pt idx="137">
                  <c:v>1874</c:v>
                </c:pt>
                <c:pt idx="138">
                  <c:v>1875</c:v>
                </c:pt>
              </c:numCache>
            </c:numRef>
          </c:xVal>
          <c:yVal>
            <c:numRef>
              <c:f>'Figure 8'!$J$3:$J$141</c:f>
              <c:numCache>
                <c:formatCode>General</c:formatCode>
                <c:ptCount val="139"/>
                <c:pt idx="117">
                  <c:v>0.4</c:v>
                </c:pt>
                <c:pt idx="118">
                  <c:v>0.45</c:v>
                </c:pt>
                <c:pt idx="122">
                  <c:v>0.6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4">
                  <c:v>0.9</c:v>
                </c:pt>
                <c:pt idx="135">
                  <c:v>1.1000000000000001</c:v>
                </c:pt>
                <c:pt idx="136">
                  <c:v>1.2</c:v>
                </c:pt>
                <c:pt idx="137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58D-A587-CFC1FC1EF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015568"/>
        <c:axId val="267014608"/>
      </c:scatterChart>
      <c:valAx>
        <c:axId val="267015568"/>
        <c:scaling>
          <c:orientation val="minMax"/>
          <c:max val="1880"/>
          <c:min val="17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14608"/>
        <c:crosses val="autoZero"/>
        <c:crossBetween val="midCat"/>
        <c:majorUnit val="10"/>
      </c:valAx>
      <c:valAx>
        <c:axId val="26701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>
                    <a:solidFill>
                      <a:schemeClr val="tx1"/>
                    </a:solidFill>
                  </a:rPr>
                  <a:t>Welfare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015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'subsist for Moscow silver AK'!$AA$2</c:f>
              <c:strCache>
                <c:ptCount val="1"/>
                <c:pt idx="0">
                  <c:v>the costs of barebone basket (roubles)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'subsist for Moscow silver AK'!$Z$3:$Z$145</c:f>
              <c:numCache>
                <c:formatCode>General</c:formatCode>
                <c:ptCount val="143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  <c:pt idx="87">
                  <c:v>1816</c:v>
                </c:pt>
                <c:pt idx="88">
                  <c:v>1817</c:v>
                </c:pt>
                <c:pt idx="89">
                  <c:v>1818</c:v>
                </c:pt>
                <c:pt idx="90">
                  <c:v>1819</c:v>
                </c:pt>
                <c:pt idx="91">
                  <c:v>1824</c:v>
                </c:pt>
                <c:pt idx="92">
                  <c:v>1825</c:v>
                </c:pt>
                <c:pt idx="93">
                  <c:v>1826</c:v>
                </c:pt>
                <c:pt idx="94">
                  <c:v>1827</c:v>
                </c:pt>
                <c:pt idx="95">
                  <c:v>1828</c:v>
                </c:pt>
                <c:pt idx="96">
                  <c:v>1829</c:v>
                </c:pt>
                <c:pt idx="97">
                  <c:v>1830</c:v>
                </c:pt>
                <c:pt idx="98">
                  <c:v>1831</c:v>
                </c:pt>
                <c:pt idx="99">
                  <c:v>1832</c:v>
                </c:pt>
                <c:pt idx="100">
                  <c:v>1833</c:v>
                </c:pt>
                <c:pt idx="101">
                  <c:v>1834</c:v>
                </c:pt>
                <c:pt idx="102">
                  <c:v>1835</c:v>
                </c:pt>
                <c:pt idx="103">
                  <c:v>1836</c:v>
                </c:pt>
                <c:pt idx="104">
                  <c:v>1837</c:v>
                </c:pt>
                <c:pt idx="105">
                  <c:v>1838</c:v>
                </c:pt>
                <c:pt idx="106">
                  <c:v>1839</c:v>
                </c:pt>
                <c:pt idx="107">
                  <c:v>1840</c:v>
                </c:pt>
                <c:pt idx="108">
                  <c:v>1841</c:v>
                </c:pt>
                <c:pt idx="109">
                  <c:v>1842</c:v>
                </c:pt>
                <c:pt idx="110">
                  <c:v>1843</c:v>
                </c:pt>
                <c:pt idx="111">
                  <c:v>1844</c:v>
                </c:pt>
                <c:pt idx="112">
                  <c:v>1845</c:v>
                </c:pt>
                <c:pt idx="113">
                  <c:v>1846</c:v>
                </c:pt>
                <c:pt idx="114">
                  <c:v>1847</c:v>
                </c:pt>
                <c:pt idx="115">
                  <c:v>1848</c:v>
                </c:pt>
                <c:pt idx="116">
                  <c:v>1849</c:v>
                </c:pt>
                <c:pt idx="117">
                  <c:v>1850</c:v>
                </c:pt>
                <c:pt idx="118">
                  <c:v>1851</c:v>
                </c:pt>
                <c:pt idx="119">
                  <c:v>1852</c:v>
                </c:pt>
                <c:pt idx="120">
                  <c:v>1853</c:v>
                </c:pt>
                <c:pt idx="121">
                  <c:v>1854</c:v>
                </c:pt>
                <c:pt idx="122">
                  <c:v>1855</c:v>
                </c:pt>
                <c:pt idx="123">
                  <c:v>1856</c:v>
                </c:pt>
                <c:pt idx="124">
                  <c:v>1857</c:v>
                </c:pt>
                <c:pt idx="125">
                  <c:v>1858</c:v>
                </c:pt>
                <c:pt idx="126">
                  <c:v>1859</c:v>
                </c:pt>
                <c:pt idx="127">
                  <c:v>1860</c:v>
                </c:pt>
                <c:pt idx="128">
                  <c:v>1861</c:v>
                </c:pt>
                <c:pt idx="129">
                  <c:v>1862</c:v>
                </c:pt>
                <c:pt idx="130">
                  <c:v>1863</c:v>
                </c:pt>
                <c:pt idx="131">
                  <c:v>1864</c:v>
                </c:pt>
                <c:pt idx="132">
                  <c:v>1865</c:v>
                </c:pt>
                <c:pt idx="133">
                  <c:v>1866</c:v>
                </c:pt>
                <c:pt idx="134">
                  <c:v>1867</c:v>
                </c:pt>
                <c:pt idx="135">
                  <c:v>1868</c:v>
                </c:pt>
                <c:pt idx="136">
                  <c:v>1869</c:v>
                </c:pt>
                <c:pt idx="137">
                  <c:v>1870</c:v>
                </c:pt>
                <c:pt idx="138">
                  <c:v>1871</c:v>
                </c:pt>
                <c:pt idx="139">
                  <c:v>1872</c:v>
                </c:pt>
                <c:pt idx="140">
                  <c:v>1873</c:v>
                </c:pt>
                <c:pt idx="141">
                  <c:v>1874</c:v>
                </c:pt>
                <c:pt idx="142">
                  <c:v>1875</c:v>
                </c:pt>
              </c:numCache>
            </c:numRef>
          </c:cat>
          <c:val>
            <c:numRef>
              <c:f>'subsist for Moscow silver AK'!$AA$3:$AA$145</c:f>
              <c:numCache>
                <c:formatCode>#,##0.00</c:formatCode>
                <c:ptCount val="143"/>
                <c:pt idx="2">
                  <c:v>4.7741878905000004</c:v>
                </c:pt>
                <c:pt idx="6">
                  <c:v>4.1209874475000001</c:v>
                </c:pt>
                <c:pt idx="16">
                  <c:v>4.0068489300000003</c:v>
                </c:pt>
                <c:pt idx="33">
                  <c:v>4.2015216949999994</c:v>
                </c:pt>
                <c:pt idx="34">
                  <c:v>4.3245307087499993</c:v>
                </c:pt>
                <c:pt idx="35">
                  <c:v>4.249504763</c:v>
                </c:pt>
                <c:pt idx="38">
                  <c:v>8.1787793240999989</c:v>
                </c:pt>
                <c:pt idx="48">
                  <c:v>6.1177137105000003</c:v>
                </c:pt>
                <c:pt idx="57">
                  <c:v>10.601767856362308</c:v>
                </c:pt>
                <c:pt idx="58">
                  <c:v>18.276205560574976</c:v>
                </c:pt>
                <c:pt idx="59">
                  <c:v>12.572337336931639</c:v>
                </c:pt>
                <c:pt idx="60">
                  <c:v>11.000405849931642</c:v>
                </c:pt>
                <c:pt idx="63">
                  <c:v>9.8821683624316421</c:v>
                </c:pt>
                <c:pt idx="64">
                  <c:v>14.400411513833333</c:v>
                </c:pt>
                <c:pt idx="65">
                  <c:v>13.15573865190577</c:v>
                </c:pt>
                <c:pt idx="66">
                  <c:v>15.92018632575</c:v>
                </c:pt>
                <c:pt idx="67">
                  <c:v>17.666848116218748</c:v>
                </c:pt>
                <c:pt idx="68">
                  <c:v>15.212691773343751</c:v>
                </c:pt>
                <c:pt idx="69">
                  <c:v>13.837095099000003</c:v>
                </c:pt>
                <c:pt idx="70">
                  <c:v>14.1333016654375</c:v>
                </c:pt>
                <c:pt idx="71">
                  <c:v>17.359921714799999</c:v>
                </c:pt>
                <c:pt idx="72">
                  <c:v>18.106124678181644</c:v>
                </c:pt>
                <c:pt idx="73">
                  <c:v>15.313636863000001</c:v>
                </c:pt>
                <c:pt idx="76">
                  <c:v>15.067322237916665</c:v>
                </c:pt>
                <c:pt idx="77">
                  <c:v>17.340630103125001</c:v>
                </c:pt>
                <c:pt idx="78">
                  <c:v>18.1805791768125</c:v>
                </c:pt>
                <c:pt idx="80">
                  <c:v>24.760617378000006</c:v>
                </c:pt>
                <c:pt idx="81">
                  <c:v>29.997571159500001</c:v>
                </c:pt>
                <c:pt idx="86">
                  <c:v>39.493489937999996</c:v>
                </c:pt>
                <c:pt idx="95">
                  <c:v>80.86</c:v>
                </c:pt>
                <c:pt idx="96">
                  <c:v>81.66</c:v>
                </c:pt>
                <c:pt idx="103">
                  <c:v>91.107330555189719</c:v>
                </c:pt>
                <c:pt idx="121">
                  <c:v>18.348706760678269</c:v>
                </c:pt>
                <c:pt idx="122">
                  <c:v>18.452094796880097</c:v>
                </c:pt>
                <c:pt idx="126">
                  <c:v>22.558937049109325</c:v>
                </c:pt>
                <c:pt idx="132">
                  <c:v>19.804826639960385</c:v>
                </c:pt>
                <c:pt idx="133">
                  <c:v>26.862015264837307</c:v>
                </c:pt>
                <c:pt idx="134">
                  <c:v>26.835347757052695</c:v>
                </c:pt>
                <c:pt idx="135">
                  <c:v>27.728652961021933</c:v>
                </c:pt>
                <c:pt idx="136">
                  <c:v>27.748413604991157</c:v>
                </c:pt>
                <c:pt idx="137">
                  <c:v>27.460942988960387</c:v>
                </c:pt>
                <c:pt idx="138">
                  <c:v>29.942273016629617</c:v>
                </c:pt>
                <c:pt idx="139">
                  <c:v>27.706159583523078</c:v>
                </c:pt>
                <c:pt idx="140">
                  <c:v>11.868937893340096</c:v>
                </c:pt>
                <c:pt idx="141">
                  <c:v>31.512213573017021</c:v>
                </c:pt>
                <c:pt idx="142">
                  <c:v>31.272969900570867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6-4E03-B110-2F57B557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300560"/>
        <c:axId val="1448297200"/>
      </c:lineChart>
      <c:lineChart>
        <c:grouping val="standard"/>
        <c:varyColors val="0"/>
        <c:ser>
          <c:idx val="1"/>
          <c:order val="1"/>
          <c:tx>
            <c:strRef>
              <c:f>'subsist for Moscow silver AK'!$AB$2</c:f>
              <c:strCache>
                <c:ptCount val="1"/>
                <c:pt idx="0">
                  <c:v>the cost of bare bone basket (silver)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'subsist for Moscow silver AK'!$Z$3:$Z$145</c:f>
              <c:numCache>
                <c:formatCode>General</c:formatCode>
                <c:ptCount val="143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  <c:pt idx="87">
                  <c:v>1816</c:v>
                </c:pt>
                <c:pt idx="88">
                  <c:v>1817</c:v>
                </c:pt>
                <c:pt idx="89">
                  <c:v>1818</c:v>
                </c:pt>
                <c:pt idx="90">
                  <c:v>1819</c:v>
                </c:pt>
                <c:pt idx="91">
                  <c:v>1824</c:v>
                </c:pt>
                <c:pt idx="92">
                  <c:v>1825</c:v>
                </c:pt>
                <c:pt idx="93">
                  <c:v>1826</c:v>
                </c:pt>
                <c:pt idx="94">
                  <c:v>1827</c:v>
                </c:pt>
                <c:pt idx="95">
                  <c:v>1828</c:v>
                </c:pt>
                <c:pt idx="96">
                  <c:v>1829</c:v>
                </c:pt>
                <c:pt idx="97">
                  <c:v>1830</c:v>
                </c:pt>
                <c:pt idx="98">
                  <c:v>1831</c:v>
                </c:pt>
                <c:pt idx="99">
                  <c:v>1832</c:v>
                </c:pt>
                <c:pt idx="100">
                  <c:v>1833</c:v>
                </c:pt>
                <c:pt idx="101">
                  <c:v>1834</c:v>
                </c:pt>
                <c:pt idx="102">
                  <c:v>1835</c:v>
                </c:pt>
                <c:pt idx="103">
                  <c:v>1836</c:v>
                </c:pt>
                <c:pt idx="104">
                  <c:v>1837</c:v>
                </c:pt>
                <c:pt idx="105">
                  <c:v>1838</c:v>
                </c:pt>
                <c:pt idx="106">
                  <c:v>1839</c:v>
                </c:pt>
                <c:pt idx="107">
                  <c:v>1840</c:v>
                </c:pt>
                <c:pt idx="108">
                  <c:v>1841</c:v>
                </c:pt>
                <c:pt idx="109">
                  <c:v>1842</c:v>
                </c:pt>
                <c:pt idx="110">
                  <c:v>1843</c:v>
                </c:pt>
                <c:pt idx="111">
                  <c:v>1844</c:v>
                </c:pt>
                <c:pt idx="112">
                  <c:v>1845</c:v>
                </c:pt>
                <c:pt idx="113">
                  <c:v>1846</c:v>
                </c:pt>
                <c:pt idx="114">
                  <c:v>1847</c:v>
                </c:pt>
                <c:pt idx="115">
                  <c:v>1848</c:v>
                </c:pt>
                <c:pt idx="116">
                  <c:v>1849</c:v>
                </c:pt>
                <c:pt idx="117">
                  <c:v>1850</c:v>
                </c:pt>
                <c:pt idx="118">
                  <c:v>1851</c:v>
                </c:pt>
                <c:pt idx="119">
                  <c:v>1852</c:v>
                </c:pt>
                <c:pt idx="120">
                  <c:v>1853</c:v>
                </c:pt>
                <c:pt idx="121">
                  <c:v>1854</c:v>
                </c:pt>
                <c:pt idx="122">
                  <c:v>1855</c:v>
                </c:pt>
                <c:pt idx="123">
                  <c:v>1856</c:v>
                </c:pt>
                <c:pt idx="124">
                  <c:v>1857</c:v>
                </c:pt>
                <c:pt idx="125">
                  <c:v>1858</c:v>
                </c:pt>
                <c:pt idx="126">
                  <c:v>1859</c:v>
                </c:pt>
                <c:pt idx="127">
                  <c:v>1860</c:v>
                </c:pt>
                <c:pt idx="128">
                  <c:v>1861</c:v>
                </c:pt>
                <c:pt idx="129">
                  <c:v>1862</c:v>
                </c:pt>
                <c:pt idx="130">
                  <c:v>1863</c:v>
                </c:pt>
                <c:pt idx="131">
                  <c:v>1864</c:v>
                </c:pt>
                <c:pt idx="132">
                  <c:v>1865</c:v>
                </c:pt>
                <c:pt idx="133">
                  <c:v>1866</c:v>
                </c:pt>
                <c:pt idx="134">
                  <c:v>1867</c:v>
                </c:pt>
                <c:pt idx="135">
                  <c:v>1868</c:v>
                </c:pt>
                <c:pt idx="136">
                  <c:v>1869</c:v>
                </c:pt>
                <c:pt idx="137">
                  <c:v>1870</c:v>
                </c:pt>
                <c:pt idx="138">
                  <c:v>1871</c:v>
                </c:pt>
                <c:pt idx="139">
                  <c:v>1872</c:v>
                </c:pt>
                <c:pt idx="140">
                  <c:v>1873</c:v>
                </c:pt>
                <c:pt idx="141">
                  <c:v>1874</c:v>
                </c:pt>
                <c:pt idx="142">
                  <c:v>1875</c:v>
                </c:pt>
              </c:numCache>
            </c:numRef>
          </c:cat>
          <c:val>
            <c:numRef>
              <c:f>'subsist for Moscow silver AK'!$AB$3:$AB$145</c:f>
              <c:numCache>
                <c:formatCode>#,##0.00</c:formatCode>
                <c:ptCount val="143"/>
                <c:pt idx="2">
                  <c:v>0.98300528665395004</c:v>
                </c:pt>
                <c:pt idx="6">
                  <c:v>0.84851131544025005</c:v>
                </c:pt>
                <c:pt idx="16">
                  <c:v>0.83102046808200003</c:v>
                </c:pt>
                <c:pt idx="33">
                  <c:v>0.87139559954299983</c:v>
                </c:pt>
                <c:pt idx="34">
                  <c:v>0.89690766899474983</c:v>
                </c:pt>
                <c:pt idx="35">
                  <c:v>0.76491085733999997</c:v>
                </c:pt>
                <c:pt idx="38">
                  <c:v>1.4721802783379996</c:v>
                </c:pt>
                <c:pt idx="48">
                  <c:v>1.0902856117722772</c:v>
                </c:pt>
                <c:pt idx="57">
                  <c:v>1.8709002099462895</c:v>
                </c:pt>
                <c:pt idx="58">
                  <c:v>3.1939000008771803</c:v>
                </c:pt>
                <c:pt idx="59">
                  <c:v>2.0953895561552729</c:v>
                </c:pt>
                <c:pt idx="60">
                  <c:v>1.8165807825575189</c:v>
                </c:pt>
                <c:pt idx="63">
                  <c:v>1.4117383374902346</c:v>
                </c:pt>
                <c:pt idx="64">
                  <c:v>1.920054868511111</c:v>
                </c:pt>
                <c:pt idx="65">
                  <c:v>1.6794559981156303</c:v>
                </c:pt>
                <c:pt idx="66">
                  <c:v>1.9627626976952053</c:v>
                </c:pt>
                <c:pt idx="67">
                  <c:v>2.2394596203657566</c:v>
                </c:pt>
                <c:pt idx="68">
                  <c:v>2.1732416819062501</c:v>
                </c:pt>
                <c:pt idx="69">
                  <c:v>1.8180124947591247</c:v>
                </c:pt>
                <c:pt idx="70">
                  <c:v>1.6847644369395696</c:v>
                </c:pt>
                <c:pt idx="71">
                  <c:v>2.0423437311529411</c:v>
                </c:pt>
                <c:pt idx="72">
                  <c:v>2.1583459881276132</c:v>
                </c:pt>
                <c:pt idx="73">
                  <c:v>1.9974308951739135</c:v>
                </c:pt>
                <c:pt idx="76">
                  <c:v>2.0862446175576919</c:v>
                </c:pt>
                <c:pt idx="77">
                  <c:v>2.3293383720615672</c:v>
                </c:pt>
                <c:pt idx="78">
                  <c:v>2.1963115784068794</c:v>
                </c:pt>
                <c:pt idx="80">
                  <c:v>1.998614855623319</c:v>
                </c:pt>
                <c:pt idx="81">
                  <c:v>1.7818557268743</c:v>
                </c:pt>
                <c:pt idx="86">
                  <c:v>1.4217656377679999</c:v>
                </c:pt>
                <c:pt idx="95">
                  <c:v>3.93</c:v>
                </c:pt>
                <c:pt idx="96">
                  <c:v>3.97</c:v>
                </c:pt>
                <c:pt idx="103">
                  <c:v>4.49</c:v>
                </c:pt>
                <c:pt idx="121">
                  <c:v>3.1376288560759837</c:v>
                </c:pt>
                <c:pt idx="122">
                  <c:v>3.1553082102664969</c:v>
                </c:pt>
                <c:pt idx="126">
                  <c:v>3.8575782353976944</c:v>
                </c:pt>
                <c:pt idx="132">
                  <c:v>2.9588411000100816</c:v>
                </c:pt>
                <c:pt idx="133">
                  <c:v>4.0131850805666929</c:v>
                </c:pt>
                <c:pt idx="134">
                  <c:v>4.0092009549036725</c:v>
                </c:pt>
                <c:pt idx="135">
                  <c:v>4.1426607523766767</c:v>
                </c:pt>
                <c:pt idx="136">
                  <c:v>4.1456129925856793</c:v>
                </c:pt>
                <c:pt idx="137">
                  <c:v>3.9543757904102961</c:v>
                </c:pt>
                <c:pt idx="138">
                  <c:v>4.3116873143946641</c:v>
                </c:pt>
                <c:pt idx="139">
                  <c:v>3.9896869800273236</c:v>
                </c:pt>
                <c:pt idx="140">
                  <c:v>1.709127056640974</c:v>
                </c:pt>
                <c:pt idx="141">
                  <c:v>4.5377587545144511</c:v>
                </c:pt>
                <c:pt idx="142">
                  <c:v>4.5033076656822049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6-4E03-B110-2F57B557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061952"/>
        <c:axId val="1646068192"/>
      </c:lineChart>
      <c:catAx>
        <c:axId val="144830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297200"/>
        <c:crosses val="autoZero"/>
        <c:auto val="1"/>
        <c:lblAlgn val="ctr"/>
        <c:lblOffset val="100"/>
        <c:noMultiLvlLbl val="0"/>
      </c:catAx>
      <c:valAx>
        <c:axId val="144829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/>
                  <a:t>Roubles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300560"/>
        <c:crosses val="autoZero"/>
        <c:crossBetween val="between"/>
      </c:valAx>
      <c:valAx>
        <c:axId val="164606819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/>
                  <a:t>Silver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61952"/>
        <c:crosses val="max"/>
        <c:crossBetween val="between"/>
      </c:valAx>
      <c:catAx>
        <c:axId val="164606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06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rye (chetvert)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Sheet2!$B$3:$B$193</c:f>
            </c:numRef>
          </c:yVal>
          <c:smooth val="0"/>
          <c:extLst>
            <c:ext xmlns:c16="http://schemas.microsoft.com/office/drawing/2014/chart" uri="{C3380CC4-5D6E-409C-BE32-E72D297353CC}">
              <c16:uniqueId val="{00000000-34A2-4F20-B2F9-DDC492AF19B7}"/>
            </c:ext>
          </c:extLst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beef (pound)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Sheet2!$C$3:$C$193</c:f>
            </c:numRef>
          </c:yVal>
          <c:smooth val="0"/>
          <c:extLst>
            <c:ext xmlns:c16="http://schemas.microsoft.com/office/drawing/2014/chart" uri="{C3380CC4-5D6E-409C-BE32-E72D297353CC}">
              <c16:uniqueId val="{00000001-34A2-4F20-B2F9-DDC492AF19B7}"/>
            </c:ext>
          </c:extLst>
        </c:ser>
        <c:ser>
          <c:idx val="2"/>
          <c:order val="2"/>
          <c:tx>
            <c:strRef>
              <c:f>Sheet2!$D$2</c:f>
              <c:strCache>
                <c:ptCount val="1"/>
                <c:pt idx="0">
                  <c:v>butter (pound)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Sheet2!$D$3:$D$193</c:f>
              <c:numCache>
                <c:formatCode>0.000;[Red]0.000</c:formatCode>
                <c:ptCount val="191"/>
                <c:pt idx="0">
                  <c:v>6.8333333333333336E-3</c:v>
                </c:pt>
                <c:pt idx="1">
                  <c:v>8.0000000000000002E-3</c:v>
                </c:pt>
                <c:pt idx="2">
                  <c:v>0.01</c:v>
                </c:pt>
                <c:pt idx="3">
                  <c:v>1.0999999999999999E-2</c:v>
                </c:pt>
                <c:pt idx="4">
                  <c:v>1.8749999999999999E-2</c:v>
                </c:pt>
                <c:pt idx="5">
                  <c:v>1.4499999999999999E-2</c:v>
                </c:pt>
                <c:pt idx="6">
                  <c:v>1.7500000000000002E-2</c:v>
                </c:pt>
                <c:pt idx="7">
                  <c:v>1.2500000000000001E-2</c:v>
                </c:pt>
                <c:pt idx="8">
                  <c:v>1.4999999999999999E-2</c:v>
                </c:pt>
                <c:pt idx="9">
                  <c:v>1.4999999999999999E-2</c:v>
                </c:pt>
                <c:pt idx="12">
                  <c:v>4.6249999999999999E-2</c:v>
                </c:pt>
                <c:pt idx="13">
                  <c:v>6.875E-3</c:v>
                </c:pt>
                <c:pt idx="16">
                  <c:v>0.04</c:v>
                </c:pt>
                <c:pt idx="17">
                  <c:v>3.2500000000000001E-2</c:v>
                </c:pt>
                <c:pt idx="20">
                  <c:v>0.04</c:v>
                </c:pt>
                <c:pt idx="24">
                  <c:v>9.5833333333333326E-2</c:v>
                </c:pt>
                <c:pt idx="26">
                  <c:v>3.6666666666666667E-2</c:v>
                </c:pt>
                <c:pt idx="43">
                  <c:v>0.05</c:v>
                </c:pt>
                <c:pt idx="44">
                  <c:v>5.1250000000000004E-2</c:v>
                </c:pt>
                <c:pt idx="45">
                  <c:v>0.05</c:v>
                </c:pt>
                <c:pt idx="48">
                  <c:v>0.06</c:v>
                </c:pt>
                <c:pt idx="50">
                  <c:v>0.05</c:v>
                </c:pt>
                <c:pt idx="51">
                  <c:v>0.05</c:v>
                </c:pt>
                <c:pt idx="53">
                  <c:v>2.9000000000000001E-2</c:v>
                </c:pt>
                <c:pt idx="56">
                  <c:v>5.5000000000000007E-2</c:v>
                </c:pt>
                <c:pt idx="58">
                  <c:v>0.06</c:v>
                </c:pt>
                <c:pt idx="59">
                  <c:v>0.02</c:v>
                </c:pt>
                <c:pt idx="63">
                  <c:v>0.11899999999999999</c:v>
                </c:pt>
                <c:pt idx="64">
                  <c:v>0.11899999999999999</c:v>
                </c:pt>
                <c:pt idx="65">
                  <c:v>0.11899999999999999</c:v>
                </c:pt>
                <c:pt idx="66">
                  <c:v>0.11899999999999999</c:v>
                </c:pt>
                <c:pt idx="67">
                  <c:v>7.2000000000000008E-2</c:v>
                </c:pt>
                <c:pt idx="68">
                  <c:v>8.666666666666667E-2</c:v>
                </c:pt>
                <c:pt idx="69">
                  <c:v>8.4499999999999992E-2</c:v>
                </c:pt>
                <c:pt idx="70">
                  <c:v>8.7499999999999994E-2</c:v>
                </c:pt>
                <c:pt idx="71">
                  <c:v>0.10793749999999999</c:v>
                </c:pt>
                <c:pt idx="72">
                  <c:v>0.11437499999999999</c:v>
                </c:pt>
                <c:pt idx="73">
                  <c:v>0.11750000000000001</c:v>
                </c:pt>
                <c:pt idx="74">
                  <c:v>0.12962499999999999</c:v>
                </c:pt>
                <c:pt idx="75">
                  <c:v>0.14879999999999999</c:v>
                </c:pt>
                <c:pt idx="76">
                  <c:v>0.16285714285714287</c:v>
                </c:pt>
                <c:pt idx="77">
                  <c:v>0.16921875</c:v>
                </c:pt>
                <c:pt idx="78">
                  <c:v>0.13950000000000001</c:v>
                </c:pt>
                <c:pt idx="79">
                  <c:v>0.141875</c:v>
                </c:pt>
                <c:pt idx="80">
                  <c:v>0.13750000000000001</c:v>
                </c:pt>
                <c:pt idx="81">
                  <c:v>0.18833333333333332</c:v>
                </c:pt>
                <c:pt idx="82">
                  <c:v>0.16999999999999998</c:v>
                </c:pt>
                <c:pt idx="83">
                  <c:v>0.13125000000000001</c:v>
                </c:pt>
                <c:pt idx="84">
                  <c:v>0.16</c:v>
                </c:pt>
                <c:pt idx="86">
                  <c:v>0.13249999999999998</c:v>
                </c:pt>
                <c:pt idx="87">
                  <c:v>0.22500000000000001</c:v>
                </c:pt>
                <c:pt idx="88" formatCode="General">
                  <c:v>0.15625</c:v>
                </c:pt>
                <c:pt idx="89">
                  <c:v>8.7499999999999994E-2</c:v>
                </c:pt>
                <c:pt idx="90">
                  <c:v>0.25</c:v>
                </c:pt>
                <c:pt idx="91">
                  <c:v>0.35499999999999998</c:v>
                </c:pt>
                <c:pt idx="93">
                  <c:v>0.4366666666666667</c:v>
                </c:pt>
                <c:pt idx="94">
                  <c:v>0.43099999999999999</c:v>
                </c:pt>
                <c:pt idx="96">
                  <c:v>0.45</c:v>
                </c:pt>
                <c:pt idx="102">
                  <c:v>0.35897435897435898</c:v>
                </c:pt>
                <c:pt idx="103">
                  <c:v>0.34871794871794876</c:v>
                </c:pt>
                <c:pt idx="104">
                  <c:v>0.33846153846153848</c:v>
                </c:pt>
                <c:pt idx="105">
                  <c:v>0.29230769230769232</c:v>
                </c:pt>
                <c:pt idx="106">
                  <c:v>0.31128205128205128</c:v>
                </c:pt>
                <c:pt idx="107">
                  <c:v>0.33025641025641028</c:v>
                </c:pt>
                <c:pt idx="108">
                  <c:v>0.4102564102564103</c:v>
                </c:pt>
                <c:pt idx="109">
                  <c:v>0.42307692307692307</c:v>
                </c:pt>
                <c:pt idx="110">
                  <c:v>0.4358974358974359</c:v>
                </c:pt>
                <c:pt idx="111">
                  <c:v>0.42735042735042733</c:v>
                </c:pt>
                <c:pt idx="112">
                  <c:v>0.41880341880341881</c:v>
                </c:pt>
                <c:pt idx="113">
                  <c:v>0.4102564102564103</c:v>
                </c:pt>
                <c:pt idx="114">
                  <c:v>0.4358974358974359</c:v>
                </c:pt>
                <c:pt idx="115">
                  <c:v>0.46153846153846156</c:v>
                </c:pt>
                <c:pt idx="116">
                  <c:v>0.30769230769230771</c:v>
                </c:pt>
                <c:pt idx="117">
                  <c:v>0.15384615384615385</c:v>
                </c:pt>
                <c:pt idx="118">
                  <c:v>0.16410256410256413</c:v>
                </c:pt>
                <c:pt idx="119">
                  <c:v>0.15384615384615385</c:v>
                </c:pt>
                <c:pt idx="120">
                  <c:v>0.14358974358974361</c:v>
                </c:pt>
                <c:pt idx="121">
                  <c:v>0.15384615384615385</c:v>
                </c:pt>
                <c:pt idx="122">
                  <c:v>0.1483974358974359</c:v>
                </c:pt>
                <c:pt idx="123">
                  <c:v>0.14294871794871794</c:v>
                </c:pt>
                <c:pt idx="124">
                  <c:v>0.13749999999999998</c:v>
                </c:pt>
                <c:pt idx="125">
                  <c:v>0.13205128205128205</c:v>
                </c:pt>
                <c:pt idx="126">
                  <c:v>0.11730769230769231</c:v>
                </c:pt>
                <c:pt idx="127">
                  <c:v>0.10256410256410257</c:v>
                </c:pt>
                <c:pt idx="128">
                  <c:v>0.16410256410256413</c:v>
                </c:pt>
                <c:pt idx="129">
                  <c:v>0.15213675213675215</c:v>
                </c:pt>
                <c:pt idx="130">
                  <c:v>0.14017094017094017</c:v>
                </c:pt>
                <c:pt idx="131">
                  <c:v>0.12820512820512822</c:v>
                </c:pt>
                <c:pt idx="132">
                  <c:v>0.14102564102564102</c:v>
                </c:pt>
                <c:pt idx="133">
                  <c:v>0.14871794871794872</c:v>
                </c:pt>
                <c:pt idx="134">
                  <c:v>0.15384615384615385</c:v>
                </c:pt>
                <c:pt idx="135">
                  <c:v>0.16666666666666669</c:v>
                </c:pt>
                <c:pt idx="136">
                  <c:v>0.17948717948717949</c:v>
                </c:pt>
                <c:pt idx="137">
                  <c:v>0.24615384615384617</c:v>
                </c:pt>
                <c:pt idx="138">
                  <c:v>0.22051282051282051</c:v>
                </c:pt>
                <c:pt idx="139">
                  <c:v>0.22820512820512823</c:v>
                </c:pt>
                <c:pt idx="140">
                  <c:v>0.23589743589743595</c:v>
                </c:pt>
                <c:pt idx="141">
                  <c:v>0.22564102564102567</c:v>
                </c:pt>
                <c:pt idx="142">
                  <c:v>0.23076923076923078</c:v>
                </c:pt>
                <c:pt idx="143">
                  <c:v>0.21794871794871795</c:v>
                </c:pt>
                <c:pt idx="144">
                  <c:v>0.2153846153846154</c:v>
                </c:pt>
                <c:pt idx="145">
                  <c:v>0.22051282051282056</c:v>
                </c:pt>
                <c:pt idx="146">
                  <c:v>0.22564102564102567</c:v>
                </c:pt>
                <c:pt idx="147">
                  <c:v>0.23076923076923078</c:v>
                </c:pt>
                <c:pt idx="148">
                  <c:v>0.23589743589743595</c:v>
                </c:pt>
                <c:pt idx="149">
                  <c:v>0.24615384615384617</c:v>
                </c:pt>
                <c:pt idx="150">
                  <c:v>0.30769230769230771</c:v>
                </c:pt>
                <c:pt idx="151">
                  <c:v>0.32820512820512826</c:v>
                </c:pt>
                <c:pt idx="152">
                  <c:v>0.3025641025641026</c:v>
                </c:pt>
                <c:pt idx="153">
                  <c:v>0.28717948717948716</c:v>
                </c:pt>
                <c:pt idx="154">
                  <c:v>0.28205128205128205</c:v>
                </c:pt>
                <c:pt idx="155">
                  <c:v>0.30769230769230771</c:v>
                </c:pt>
                <c:pt idx="156">
                  <c:v>0.35897435897435898</c:v>
                </c:pt>
                <c:pt idx="157">
                  <c:v>0.30769230769230771</c:v>
                </c:pt>
                <c:pt idx="158">
                  <c:v>0.32051282051282054</c:v>
                </c:pt>
                <c:pt idx="159">
                  <c:v>0.32051282051282054</c:v>
                </c:pt>
                <c:pt idx="160">
                  <c:v>0.32692307692307693</c:v>
                </c:pt>
                <c:pt idx="161">
                  <c:v>0.33333333333333331</c:v>
                </c:pt>
                <c:pt idx="162">
                  <c:v>0.30769230769230771</c:v>
                </c:pt>
                <c:pt idx="163">
                  <c:v>0.28205128205128205</c:v>
                </c:pt>
                <c:pt idx="164">
                  <c:v>0.30769230769230771</c:v>
                </c:pt>
                <c:pt idx="165">
                  <c:v>0.34871794871794876</c:v>
                </c:pt>
                <c:pt idx="166">
                  <c:v>0.33333333333333331</c:v>
                </c:pt>
                <c:pt idx="167">
                  <c:v>0.31282051282051293</c:v>
                </c:pt>
                <c:pt idx="168">
                  <c:v>0.32307692307692309</c:v>
                </c:pt>
                <c:pt idx="169">
                  <c:v>0.32307692307692309</c:v>
                </c:pt>
                <c:pt idx="170">
                  <c:v>0.32307692307692309</c:v>
                </c:pt>
                <c:pt idx="171">
                  <c:v>0.32307692307692309</c:v>
                </c:pt>
                <c:pt idx="172">
                  <c:v>0.34871794871794876</c:v>
                </c:pt>
                <c:pt idx="173">
                  <c:v>0.32307692307692309</c:v>
                </c:pt>
                <c:pt idx="174">
                  <c:v>0.32307692307692309</c:v>
                </c:pt>
                <c:pt idx="175">
                  <c:v>0.33333333333333331</c:v>
                </c:pt>
                <c:pt idx="176">
                  <c:v>0.33846153846153848</c:v>
                </c:pt>
                <c:pt idx="177">
                  <c:v>0.33974358974358976</c:v>
                </c:pt>
                <c:pt idx="178">
                  <c:v>0.34102564102564104</c:v>
                </c:pt>
                <c:pt idx="179">
                  <c:v>0.35897435897435898</c:v>
                </c:pt>
                <c:pt idx="180">
                  <c:v>0.37948717948717953</c:v>
                </c:pt>
                <c:pt idx="181">
                  <c:v>0.4</c:v>
                </c:pt>
                <c:pt idx="182">
                  <c:v>0.4102564102564103</c:v>
                </c:pt>
                <c:pt idx="183">
                  <c:v>0.44102564102564112</c:v>
                </c:pt>
                <c:pt idx="184">
                  <c:v>0.4</c:v>
                </c:pt>
                <c:pt idx="185">
                  <c:v>0.41794871794871796</c:v>
                </c:pt>
                <c:pt idx="186">
                  <c:v>0.41666666666666669</c:v>
                </c:pt>
                <c:pt idx="187">
                  <c:v>0.44871794871794868</c:v>
                </c:pt>
                <c:pt idx="188">
                  <c:v>0.44871794871794868</c:v>
                </c:pt>
                <c:pt idx="189">
                  <c:v>0.4589743589743589</c:v>
                </c:pt>
                <c:pt idx="190">
                  <c:v>0.45128205128205134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2-4F20-B2F9-DDC492AF19B7}"/>
            </c:ext>
          </c:extLst>
        </c:ser>
        <c:ser>
          <c:idx val="3"/>
          <c:order val="3"/>
          <c:tx>
            <c:strRef>
              <c:f>Sheet2!$E$2</c:f>
              <c:strCache>
                <c:ptCount val="1"/>
                <c:pt idx="0">
                  <c:v>salt (pood)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Sheet2!$E$3:$E$193</c:f>
            </c:numRef>
          </c:yVal>
          <c:smooth val="0"/>
          <c:extLst>
            <c:ext xmlns:c16="http://schemas.microsoft.com/office/drawing/2014/chart" uri="{C3380CC4-5D6E-409C-BE32-E72D297353CC}">
              <c16:uniqueId val="{00000003-34A2-4F20-B2F9-DDC492AF19B7}"/>
            </c:ext>
          </c:extLst>
        </c:ser>
        <c:ser>
          <c:idx val="4"/>
          <c:order val="4"/>
          <c:tx>
            <c:strRef>
              <c:f>Sheet2!$F$2</c:f>
              <c:strCache>
                <c:ptCount val="1"/>
                <c:pt idx="0">
                  <c:v>costs of food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Sheet2!$F$3:$F$193</c:f>
            </c:numRef>
          </c:yVal>
          <c:smooth val="0"/>
          <c:extLst>
            <c:ext xmlns:c16="http://schemas.microsoft.com/office/drawing/2014/chart" uri="{C3380CC4-5D6E-409C-BE32-E72D297353CC}">
              <c16:uniqueId val="{00000004-34A2-4F20-B2F9-DDC492AF19B7}"/>
            </c:ext>
          </c:extLst>
        </c:ser>
        <c:ser>
          <c:idx val="5"/>
          <c:order val="5"/>
          <c:tx>
            <c:strRef>
              <c:f>Sheet2!$G$2</c:f>
              <c:strCache>
                <c:ptCount val="1"/>
                <c:pt idx="0">
                  <c:v>% of food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Sheet2!$G$3:$G$193</c:f>
            </c:numRef>
          </c:yVal>
          <c:smooth val="0"/>
          <c:extLst>
            <c:ext xmlns:c16="http://schemas.microsoft.com/office/drawing/2014/chart" uri="{C3380CC4-5D6E-409C-BE32-E72D297353CC}">
              <c16:uniqueId val="{00000005-34A2-4F20-B2F9-DDC492AF19B7}"/>
            </c:ext>
          </c:extLst>
        </c:ser>
        <c:ser>
          <c:idx val="6"/>
          <c:order val="6"/>
          <c:tx>
            <c:strRef>
              <c:f>Sheet2!$H$2</c:f>
              <c:strCache>
                <c:ptCount val="1"/>
                <c:pt idx="0">
                  <c:v>tallow candle (pood)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Sheet2!$H$3:$H$193</c:f>
            </c:numRef>
          </c:yVal>
          <c:smooth val="0"/>
          <c:extLst>
            <c:ext xmlns:c16="http://schemas.microsoft.com/office/drawing/2014/chart" uri="{C3380CC4-5D6E-409C-BE32-E72D297353CC}">
              <c16:uniqueId val="{00000006-34A2-4F20-B2F9-DDC492AF19B7}"/>
            </c:ext>
          </c:extLst>
        </c:ser>
        <c:ser>
          <c:idx val="7"/>
          <c:order val="7"/>
          <c:tx>
            <c:strRef>
              <c:f>Sheet2!$I$2</c:f>
              <c:strCache>
                <c:ptCount val="1"/>
                <c:pt idx="0">
                  <c:v>linen cloth (arshin)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Sheet2!$I$3:$I$193</c:f>
            </c:numRef>
          </c:yVal>
          <c:smooth val="0"/>
          <c:extLst>
            <c:ext xmlns:c16="http://schemas.microsoft.com/office/drawing/2014/chart" uri="{C3380CC4-5D6E-409C-BE32-E72D297353CC}">
              <c16:uniqueId val="{00000007-34A2-4F20-B2F9-DDC492AF19B7}"/>
            </c:ext>
          </c:extLst>
        </c:ser>
        <c:ser>
          <c:idx val="8"/>
          <c:order val="8"/>
          <c:tx>
            <c:strRef>
              <c:f>Sheet2!$J$2</c:f>
              <c:strCache>
                <c:ptCount val="1"/>
                <c:pt idx="0">
                  <c:v>soap (pood)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Sheet2!$J$3:$J$193</c:f>
            </c:numRef>
          </c:yVal>
          <c:smooth val="0"/>
          <c:extLst>
            <c:ext xmlns:c16="http://schemas.microsoft.com/office/drawing/2014/chart" uri="{C3380CC4-5D6E-409C-BE32-E72D297353CC}">
              <c16:uniqueId val="{00000008-34A2-4F20-B2F9-DDC492AF19B7}"/>
            </c:ext>
          </c:extLst>
        </c:ser>
        <c:ser>
          <c:idx val="9"/>
          <c:order val="9"/>
          <c:tx>
            <c:strRef>
              <c:f>Sheet2!$K$2</c:f>
              <c:strCache>
                <c:ptCount val="1"/>
                <c:pt idx="0">
                  <c:v>costs of industrial goods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Sheet2!$K$3:$K$193</c:f>
            </c:numRef>
          </c:yVal>
          <c:smooth val="0"/>
          <c:extLst>
            <c:ext xmlns:c16="http://schemas.microsoft.com/office/drawing/2014/chart" uri="{C3380CC4-5D6E-409C-BE32-E72D297353CC}">
              <c16:uniqueId val="{00000009-34A2-4F20-B2F9-DDC492AF19B7}"/>
            </c:ext>
          </c:extLst>
        </c:ser>
        <c:ser>
          <c:idx val="10"/>
          <c:order val="10"/>
          <c:tx>
            <c:strRef>
              <c:f>Sheet2!$L$2</c:f>
              <c:strCache>
                <c:ptCount val="1"/>
                <c:pt idx="0">
                  <c:v>% of industrial goods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Sheet2!$L$3:$L$193</c:f>
            </c:numRef>
          </c:yVal>
          <c:smooth val="0"/>
          <c:extLst>
            <c:ext xmlns:c16="http://schemas.microsoft.com/office/drawing/2014/chart" uri="{C3380CC4-5D6E-409C-BE32-E72D297353CC}">
              <c16:uniqueId val="{0000000A-34A2-4F20-B2F9-DDC492AF19B7}"/>
            </c:ext>
          </c:extLst>
        </c:ser>
        <c:ser>
          <c:idx val="11"/>
          <c:order val="11"/>
          <c:tx>
            <c:strRef>
              <c:f>Sheet2!$M$2</c:f>
              <c:strCache>
                <c:ptCount val="1"/>
                <c:pt idx="0">
                  <c:v>the cost of basket without firewood and rent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Sheet2!$M$3:$M$193</c:f>
            </c:numRef>
          </c:yVal>
          <c:smooth val="0"/>
          <c:extLst>
            <c:ext xmlns:c16="http://schemas.microsoft.com/office/drawing/2014/chart" uri="{C3380CC4-5D6E-409C-BE32-E72D297353CC}">
              <c16:uniqueId val="{0000000B-34A2-4F20-B2F9-DDC492AF19B7}"/>
            </c:ext>
          </c:extLst>
        </c:ser>
        <c:ser>
          <c:idx val="12"/>
          <c:order val="12"/>
          <c:tx>
            <c:strRef>
              <c:f>Sheet2!$N$2</c:f>
              <c:strCache>
                <c:ptCount val="1"/>
                <c:pt idx="0">
                  <c:v>costs of firewood (Kubicheskaya sazhen)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Sheet2!$N$3:$N$193</c:f>
            </c:numRef>
          </c:yVal>
          <c:smooth val="0"/>
          <c:extLst>
            <c:ext xmlns:c16="http://schemas.microsoft.com/office/drawing/2014/chart" uri="{C3380CC4-5D6E-409C-BE32-E72D297353CC}">
              <c16:uniqueId val="{0000000C-34A2-4F20-B2F9-DDC492AF19B7}"/>
            </c:ext>
          </c:extLst>
        </c:ser>
        <c:ser>
          <c:idx val="13"/>
          <c:order val="13"/>
          <c:tx>
            <c:strRef>
              <c:f>Sheet2!$O$2</c:f>
              <c:strCache>
                <c:ptCount val="1"/>
                <c:pt idx="0">
                  <c:v>costs of firewood (0.26 of sazhen)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Sheet2!$O$3:$O$193</c:f>
            </c:numRef>
          </c:yVal>
          <c:smooth val="0"/>
          <c:extLst>
            <c:ext xmlns:c16="http://schemas.microsoft.com/office/drawing/2014/chart" uri="{C3380CC4-5D6E-409C-BE32-E72D297353CC}">
              <c16:uniqueId val="{0000000D-34A2-4F20-B2F9-DDC492AF19B7}"/>
            </c:ext>
          </c:extLst>
        </c:ser>
        <c:ser>
          <c:idx val="14"/>
          <c:order val="14"/>
          <c:tx>
            <c:strRef>
              <c:f>Sheet2!$P$2</c:f>
              <c:strCache>
                <c:ptCount val="1"/>
                <c:pt idx="0">
                  <c:v>% of firewood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Sheet2!$P$3:$P$193</c:f>
            </c:numRef>
          </c:yVal>
          <c:smooth val="0"/>
          <c:extLst>
            <c:ext xmlns:c16="http://schemas.microsoft.com/office/drawing/2014/chart" uri="{C3380CC4-5D6E-409C-BE32-E72D297353CC}">
              <c16:uniqueId val="{0000000E-34A2-4F20-B2F9-DDC492AF19B7}"/>
            </c:ext>
          </c:extLst>
        </c:ser>
        <c:ser>
          <c:idx val="15"/>
          <c:order val="15"/>
          <c:tx>
            <c:strRef>
              <c:f>Sheet2!$Q$2</c:f>
              <c:strCache>
                <c:ptCount val="1"/>
                <c:pt idx="0">
                  <c:v>5% of rent (roubles)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Sheet2!$Q$3:$Q$193</c:f>
            </c:numRef>
          </c:yVal>
          <c:smooth val="0"/>
          <c:extLst>
            <c:ext xmlns:c16="http://schemas.microsoft.com/office/drawing/2014/chart" uri="{C3380CC4-5D6E-409C-BE32-E72D297353CC}">
              <c16:uniqueId val="{0000000F-34A2-4F20-B2F9-DDC492AF19B7}"/>
            </c:ext>
          </c:extLst>
        </c:ser>
        <c:ser>
          <c:idx val="16"/>
          <c:order val="16"/>
          <c:tx>
            <c:strRef>
              <c:f>Sheet2!$R$2</c:f>
              <c:strCache>
                <c:ptCount val="1"/>
                <c:pt idx="0">
                  <c:v>the costs of barebone basket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Sheet2!$R$3:$R$193</c:f>
            </c:numRef>
          </c:yVal>
          <c:smooth val="0"/>
          <c:extLst>
            <c:ext xmlns:c16="http://schemas.microsoft.com/office/drawing/2014/chart" uri="{C3380CC4-5D6E-409C-BE32-E72D297353CC}">
              <c16:uniqueId val="{00000010-34A2-4F20-B2F9-DDC492AF19B7}"/>
            </c:ext>
          </c:extLst>
        </c:ser>
        <c:ser>
          <c:idx val="17"/>
          <c:order val="17"/>
          <c:tx>
            <c:strRef>
              <c:f>Sheet2!$S$2</c:f>
              <c:strCache>
                <c:ptCount val="1"/>
                <c:pt idx="0">
                  <c:v>silver per rouble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Sheet2!$S$3:$S$193</c:f>
            </c:numRef>
          </c:yVal>
          <c:smooth val="0"/>
          <c:extLst>
            <c:ext xmlns:c16="http://schemas.microsoft.com/office/drawing/2014/chart" uri="{C3380CC4-5D6E-409C-BE32-E72D297353CC}">
              <c16:uniqueId val="{00000011-34A2-4F20-B2F9-DDC492AF19B7}"/>
            </c:ext>
          </c:extLst>
        </c:ser>
        <c:ser>
          <c:idx val="18"/>
          <c:order val="18"/>
          <c:tx>
            <c:strRef>
              <c:f>Sheet2!$T$2</c:f>
              <c:strCache>
                <c:ptCount val="1"/>
                <c:pt idx="0">
                  <c:v>gramms of cilver in one ruble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Sheet2!$T$3:$T$193</c:f>
            </c:numRef>
          </c:yVal>
          <c:smooth val="0"/>
          <c:extLst>
            <c:ext xmlns:c16="http://schemas.microsoft.com/office/drawing/2014/chart" uri="{C3380CC4-5D6E-409C-BE32-E72D297353CC}">
              <c16:uniqueId val="{00000012-34A2-4F20-B2F9-DDC492AF19B7}"/>
            </c:ext>
          </c:extLst>
        </c:ser>
        <c:ser>
          <c:idx val="19"/>
          <c:order val="19"/>
          <c:tx>
            <c:strRef>
              <c:f>Sheet2!$U$2</c:f>
              <c:strCache>
                <c:ptCount val="1"/>
                <c:pt idx="0">
                  <c:v>bare bone basket in silver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Sheet2!$U$3:$U$193</c:f>
            </c:numRef>
          </c:yVal>
          <c:smooth val="0"/>
          <c:extLst>
            <c:ext xmlns:c16="http://schemas.microsoft.com/office/drawing/2014/chart" uri="{C3380CC4-5D6E-409C-BE32-E72D297353CC}">
              <c16:uniqueId val="{00000013-34A2-4F20-B2F9-DDC492AF19B7}"/>
            </c:ext>
          </c:extLst>
        </c:ser>
        <c:ser>
          <c:idx val="20"/>
          <c:order val="20"/>
          <c:tx>
            <c:strRef>
              <c:f>Sheet2!$V$2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Sheet2!$A$3:$A$193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xVal>
          <c:yVal>
            <c:numRef>
              <c:f>Sheet2!$V$3:$V$193</c:f>
              <c:numCache>
                <c:formatCode>0.000000</c:formatCode>
                <c:ptCount val="191"/>
                <c:pt idx="0">
                  <c:v>1.6891999999999999E-3</c:v>
                </c:pt>
                <c:pt idx="1">
                  <c:v>1.9775999999999999E-3</c:v>
                </c:pt>
                <c:pt idx="2">
                  <c:v>2.4720000000000002E-3</c:v>
                </c:pt>
                <c:pt idx="3">
                  <c:v>2.7191999999999997E-3</c:v>
                </c:pt>
                <c:pt idx="4">
                  <c:v>4.6349999999999994E-3</c:v>
                </c:pt>
                <c:pt idx="5">
                  <c:v>3.5843999999999997E-3</c:v>
                </c:pt>
                <c:pt idx="6">
                  <c:v>4.326E-3</c:v>
                </c:pt>
                <c:pt idx="7">
                  <c:v>3.0899999999999999E-3</c:v>
                </c:pt>
                <c:pt idx="8">
                  <c:v>3.7079999999999995E-3</c:v>
                </c:pt>
                <c:pt idx="9">
                  <c:v>3.7079999999999995E-3</c:v>
                </c:pt>
                <c:pt idx="12">
                  <c:v>9.5228750000000001E-3</c:v>
                </c:pt>
                <c:pt idx="13">
                  <c:v>1.4155624999999999E-3</c:v>
                </c:pt>
                <c:pt idx="16">
                  <c:v>8.2360000000000003E-3</c:v>
                </c:pt>
                <c:pt idx="17">
                  <c:v>6.6917499999999998E-3</c:v>
                </c:pt>
                <c:pt idx="20">
                  <c:v>8.2959999999999996E-3</c:v>
                </c:pt>
                <c:pt idx="24">
                  <c:v>1.9875833333333329E-2</c:v>
                </c:pt>
                <c:pt idx="26">
                  <c:v>7.6046666666666658E-3</c:v>
                </c:pt>
                <c:pt idx="43">
                  <c:v>1.0369999999999999E-2</c:v>
                </c:pt>
                <c:pt idx="44">
                  <c:v>1.062925E-2</c:v>
                </c:pt>
                <c:pt idx="45">
                  <c:v>9.0000000000000011E-3</c:v>
                </c:pt>
                <c:pt idx="48">
                  <c:v>1.0800000000000001E-2</c:v>
                </c:pt>
                <c:pt idx="50">
                  <c:v>8.9108910891089119E-3</c:v>
                </c:pt>
                <c:pt idx="51">
                  <c:v>8.9108910891089119E-3</c:v>
                </c:pt>
                <c:pt idx="53">
                  <c:v>5.0679611650485444E-3</c:v>
                </c:pt>
                <c:pt idx="56">
                  <c:v>9.8019801980198037E-3</c:v>
                </c:pt>
                <c:pt idx="58">
                  <c:v>1.0693069306930694E-2</c:v>
                </c:pt>
                <c:pt idx="59">
                  <c:v>3.5643564356435641E-3</c:v>
                </c:pt>
                <c:pt idx="63">
                  <c:v>2.1207920792079209E-2</c:v>
                </c:pt>
                <c:pt idx="64">
                  <c:v>2.1207920792079209E-2</c:v>
                </c:pt>
                <c:pt idx="65">
                  <c:v>2.0999999999999998E-2</c:v>
                </c:pt>
                <c:pt idx="66">
                  <c:v>2.0999999999999998E-2</c:v>
                </c:pt>
                <c:pt idx="67">
                  <c:v>1.2705882352941176E-2</c:v>
                </c:pt>
                <c:pt idx="68">
                  <c:v>1.5145631067961164E-2</c:v>
                </c:pt>
                <c:pt idx="69">
                  <c:v>1.408333333333333E-2</c:v>
                </c:pt>
                <c:pt idx="70">
                  <c:v>1.4449541284403669E-2</c:v>
                </c:pt>
                <c:pt idx="71">
                  <c:v>1.6894565217391303E-2</c:v>
                </c:pt>
                <c:pt idx="72">
                  <c:v>1.6737804878048778E-2</c:v>
                </c:pt>
                <c:pt idx="73">
                  <c:v>1.6785714285714286E-2</c:v>
                </c:pt>
                <c:pt idx="74">
                  <c:v>1.7283333333333331E-2</c:v>
                </c:pt>
                <c:pt idx="75">
                  <c:v>1.8995744680851065E-2</c:v>
                </c:pt>
                <c:pt idx="76">
                  <c:v>2.0078277886497062E-2</c:v>
                </c:pt>
                <c:pt idx="77">
                  <c:v>2.1450264084507044E-2</c:v>
                </c:pt>
                <c:pt idx="78">
                  <c:v>1.9928571428571431E-2</c:v>
                </c:pt>
                <c:pt idx="79">
                  <c:v>1.864051094890511E-2</c:v>
                </c:pt>
                <c:pt idx="80">
                  <c:v>1.6390728476821197E-2</c:v>
                </c:pt>
                <c:pt idx="81">
                  <c:v>2.2156862745098042E-2</c:v>
                </c:pt>
                <c:pt idx="82">
                  <c:v>2.0264900662251652E-2</c:v>
                </c:pt>
                <c:pt idx="83">
                  <c:v>1.711956521739131E-2</c:v>
                </c:pt>
                <c:pt idx="84">
                  <c:v>2.3040000000000001E-2</c:v>
                </c:pt>
                <c:pt idx="86">
                  <c:v>1.8346153846153842E-2</c:v>
                </c:pt>
                <c:pt idx="87">
                  <c:v>3.0223880597014922E-2</c:v>
                </c:pt>
                <c:pt idx="88">
                  <c:v>1.8875838926174497E-2</c:v>
                </c:pt>
                <c:pt idx="89">
                  <c:v>0</c:v>
                </c:pt>
                <c:pt idx="90">
                  <c:v>2.0179372197309416E-2</c:v>
                </c:pt>
                <c:pt idx="91">
                  <c:v>2.1087000000000002E-2</c:v>
                </c:pt>
                <c:pt idx="93">
                  <c:v>2.5937999999999999E-2</c:v>
                </c:pt>
                <c:pt idx="94">
                  <c:v>2.56014E-2</c:v>
                </c:pt>
                <c:pt idx="96">
                  <c:v>1.6200000000000003E-2</c:v>
                </c:pt>
                <c:pt idx="102">
                  <c:v>1.7446153846153847E-2</c:v>
                </c:pt>
                <c:pt idx="103">
                  <c:v>1.6947692307692309E-2</c:v>
                </c:pt>
                <c:pt idx="104">
                  <c:v>1.6449230769230772E-2</c:v>
                </c:pt>
                <c:pt idx="105">
                  <c:v>1.4206153846153846E-2</c:v>
                </c:pt>
                <c:pt idx="106">
                  <c:v>1.5128307692307694E-2</c:v>
                </c:pt>
                <c:pt idx="107">
                  <c:v>1.6050461538461541E-2</c:v>
                </c:pt>
                <c:pt idx="108">
                  <c:v>1.993846153846154E-2</c:v>
                </c:pt>
                <c:pt idx="109">
                  <c:v>2.0561538461538461E-2</c:v>
                </c:pt>
                <c:pt idx="110">
                  <c:v>2.1184615384615389E-2</c:v>
                </c:pt>
                <c:pt idx="111">
                  <c:v>2.0769230769230772E-2</c:v>
                </c:pt>
                <c:pt idx="112">
                  <c:v>2.0353846153846156E-2</c:v>
                </c:pt>
                <c:pt idx="113">
                  <c:v>2.0233846153846158E-2</c:v>
                </c:pt>
                <c:pt idx="114">
                  <c:v>2.1498461538461536E-2</c:v>
                </c:pt>
                <c:pt idx="115">
                  <c:v>2.2763076923076928E-2</c:v>
                </c:pt>
                <c:pt idx="116">
                  <c:v>1.5175384615384617E-2</c:v>
                </c:pt>
                <c:pt idx="117">
                  <c:v>7.5876923076923083E-3</c:v>
                </c:pt>
                <c:pt idx="118">
                  <c:v>8.0935384615384628E-3</c:v>
                </c:pt>
                <c:pt idx="119">
                  <c:v>7.5876923076923083E-3</c:v>
                </c:pt>
                <c:pt idx="120">
                  <c:v>7.0818461538461556E-3</c:v>
                </c:pt>
                <c:pt idx="121">
                  <c:v>7.5876923076923083E-3</c:v>
                </c:pt>
                <c:pt idx="122">
                  <c:v>7.3189615384615389E-3</c:v>
                </c:pt>
                <c:pt idx="123">
                  <c:v>7.0502307692307687E-3</c:v>
                </c:pt>
                <c:pt idx="124">
                  <c:v>6.7815000000000002E-3</c:v>
                </c:pt>
                <c:pt idx="125">
                  <c:v>6.5127692307692308E-3</c:v>
                </c:pt>
                <c:pt idx="126">
                  <c:v>5.7856153846153847E-3</c:v>
                </c:pt>
                <c:pt idx="127">
                  <c:v>5.0584615384615395E-3</c:v>
                </c:pt>
                <c:pt idx="128">
                  <c:v>8.0935384615384628E-3</c:v>
                </c:pt>
                <c:pt idx="129">
                  <c:v>7.5033846153846166E-3</c:v>
                </c:pt>
                <c:pt idx="130">
                  <c:v>6.9132307692307696E-3</c:v>
                </c:pt>
                <c:pt idx="131">
                  <c:v>2.1923076923076924E-2</c:v>
                </c:pt>
                <c:pt idx="132">
                  <c:v>2.4115384615384615E-2</c:v>
                </c:pt>
                <c:pt idx="133">
                  <c:v>2.5430769230769226E-2</c:v>
                </c:pt>
                <c:pt idx="134">
                  <c:v>2.6307692307692306E-2</c:v>
                </c:pt>
                <c:pt idx="135">
                  <c:v>2.8500000000000004E-2</c:v>
                </c:pt>
                <c:pt idx="136">
                  <c:v>3.0692307692307696E-2</c:v>
                </c:pt>
                <c:pt idx="137">
                  <c:v>4.2092307692307693E-2</c:v>
                </c:pt>
                <c:pt idx="138">
                  <c:v>3.7707692307692303E-2</c:v>
                </c:pt>
                <c:pt idx="139">
                  <c:v>3.9023076923076924E-2</c:v>
                </c:pt>
                <c:pt idx="140">
                  <c:v>4.0338461538461538E-2</c:v>
                </c:pt>
                <c:pt idx="141">
                  <c:v>3.8584615384615391E-2</c:v>
                </c:pt>
                <c:pt idx="142">
                  <c:v>3.4476923076923079E-2</c:v>
                </c:pt>
                <c:pt idx="143">
                  <c:v>3.2561538461538461E-2</c:v>
                </c:pt>
                <c:pt idx="144">
                  <c:v>3.2178461538461538E-2</c:v>
                </c:pt>
                <c:pt idx="145">
                  <c:v>3.2944615384615392E-2</c:v>
                </c:pt>
                <c:pt idx="146">
                  <c:v>3.3710769230769232E-2</c:v>
                </c:pt>
                <c:pt idx="147">
                  <c:v>3.323076923076923E-2</c:v>
                </c:pt>
                <c:pt idx="148">
                  <c:v>3.3969230769230779E-2</c:v>
                </c:pt>
                <c:pt idx="149">
                  <c:v>3.5446153846153849E-2</c:v>
                </c:pt>
                <c:pt idx="150">
                  <c:v>4.4307692307692312E-2</c:v>
                </c:pt>
                <c:pt idx="151">
                  <c:v>4.7261538461538473E-2</c:v>
                </c:pt>
                <c:pt idx="152">
                  <c:v>4.3569230769230777E-2</c:v>
                </c:pt>
                <c:pt idx="153">
                  <c:v>2.7800531188720924E-2</c:v>
                </c:pt>
                <c:pt idx="154">
                  <c:v>2.7304093131779481E-2</c:v>
                </c:pt>
                <c:pt idx="155">
                  <c:v>2.978628341648671E-2</c:v>
                </c:pt>
                <c:pt idx="156">
                  <c:v>3.475066398590116E-2</c:v>
                </c:pt>
                <c:pt idx="157">
                  <c:v>2.978628341648671E-2</c:v>
                </c:pt>
                <c:pt idx="158">
                  <c:v>3.1027378558840323E-2</c:v>
                </c:pt>
                <c:pt idx="159">
                  <c:v>3.1027378558840323E-2</c:v>
                </c:pt>
                <c:pt idx="160">
                  <c:v>3.1647926130017129E-2</c:v>
                </c:pt>
                <c:pt idx="161">
                  <c:v>3.2268473701193928E-2</c:v>
                </c:pt>
                <c:pt idx="162">
                  <c:v>2.978628341648671E-2</c:v>
                </c:pt>
                <c:pt idx="163">
                  <c:v>2.7304093131779481E-2</c:v>
                </c:pt>
                <c:pt idx="164">
                  <c:v>2.978628341648671E-2</c:v>
                </c:pt>
                <c:pt idx="165">
                  <c:v>3.3757787872018274E-2</c:v>
                </c:pt>
                <c:pt idx="166">
                  <c:v>3.2268473701193928E-2</c:v>
                </c:pt>
                <c:pt idx="167">
                  <c:v>3.0282721473428163E-2</c:v>
                </c:pt>
                <c:pt idx="168">
                  <c:v>3.1275597587311042E-2</c:v>
                </c:pt>
                <c:pt idx="169">
                  <c:v>3.1275597587311042E-2</c:v>
                </c:pt>
                <c:pt idx="170">
                  <c:v>3.1275597587311042E-2</c:v>
                </c:pt>
                <c:pt idx="171">
                  <c:v>3.1275597587311042E-2</c:v>
                </c:pt>
                <c:pt idx="172">
                  <c:v>3.3757787872018274E-2</c:v>
                </c:pt>
                <c:pt idx="173">
                  <c:v>3.1275597587311042E-2</c:v>
                </c:pt>
                <c:pt idx="174">
                  <c:v>3.1275597587311042E-2</c:v>
                </c:pt>
                <c:pt idx="175">
                  <c:v>3.2268473701193928E-2</c:v>
                </c:pt>
                <c:pt idx="176">
                  <c:v>3.2764911758135382E-2</c:v>
                </c:pt>
                <c:pt idx="177">
                  <c:v>3.2889021272370741E-2</c:v>
                </c:pt>
                <c:pt idx="178">
                  <c:v>3.3013130786606101E-2</c:v>
                </c:pt>
                <c:pt idx="179">
                  <c:v>3.475066398590116E-2</c:v>
                </c:pt>
                <c:pt idx="180">
                  <c:v>3.6736416213666946E-2</c:v>
                </c:pt>
                <c:pt idx="181">
                  <c:v>3.8722168441432725E-2</c:v>
                </c:pt>
                <c:pt idx="182">
                  <c:v>3.9715044555315611E-2</c:v>
                </c:pt>
                <c:pt idx="183">
                  <c:v>4.269367289696429E-2</c:v>
                </c:pt>
                <c:pt idx="184">
                  <c:v>3.8722168441432725E-2</c:v>
                </c:pt>
                <c:pt idx="185">
                  <c:v>4.0459701640727777E-2</c:v>
                </c:pt>
                <c:pt idx="186">
                  <c:v>4.0335592126492417E-2</c:v>
                </c:pt>
                <c:pt idx="187">
                  <c:v>4.3438329982376442E-2</c:v>
                </c:pt>
                <c:pt idx="188">
                  <c:v>4.3438329982376442E-2</c:v>
                </c:pt>
                <c:pt idx="189">
                  <c:v>4.4431206096259335E-2</c:v>
                </c:pt>
                <c:pt idx="190">
                  <c:v>4.3686549010847175E-2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4A2-4F20-B2F9-DDC492AF1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14352"/>
        <c:axId val="51204272"/>
      </c:scatterChart>
      <c:valAx>
        <c:axId val="51214352"/>
        <c:scaling>
          <c:orientation val="minMax"/>
          <c:max val="1913"/>
          <c:min val="157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4272"/>
        <c:crosses val="autoZero"/>
        <c:crossBetween val="midCat"/>
        <c:majorUnit val="10"/>
        <c:minorUnit val="10"/>
      </c:valAx>
      <c:valAx>
        <c:axId val="512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1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Sheet2!$AB$2</c:f>
              <c:strCache>
                <c:ptCount val="1"/>
                <c:pt idx="0">
                  <c:v>номинальные цены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Sheet2!$AA$3:$AA$193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cat>
          <c:val>
            <c:numRef>
              <c:f>Sheet2!$AB$3:$AB$193</c:f>
              <c:numCache>
                <c:formatCode>General</c:formatCode>
                <c:ptCount val="191"/>
                <c:pt idx="0">
                  <c:v>6.8333333333333336E-3</c:v>
                </c:pt>
                <c:pt idx="1">
                  <c:v>8.0000000000000002E-3</c:v>
                </c:pt>
                <c:pt idx="2">
                  <c:v>0.01</c:v>
                </c:pt>
                <c:pt idx="3">
                  <c:v>1.0999999999999999E-2</c:v>
                </c:pt>
                <c:pt idx="4">
                  <c:v>1.8749999999999999E-2</c:v>
                </c:pt>
                <c:pt idx="5">
                  <c:v>1.4499999999999999E-2</c:v>
                </c:pt>
                <c:pt idx="6">
                  <c:v>1.7500000000000002E-2</c:v>
                </c:pt>
                <c:pt idx="7">
                  <c:v>1.2500000000000001E-2</c:v>
                </c:pt>
                <c:pt idx="8">
                  <c:v>1.4999999999999999E-2</c:v>
                </c:pt>
                <c:pt idx="9">
                  <c:v>1.4999999999999999E-2</c:v>
                </c:pt>
                <c:pt idx="12">
                  <c:v>4.6249999999999999E-2</c:v>
                </c:pt>
                <c:pt idx="13">
                  <c:v>6.875E-3</c:v>
                </c:pt>
                <c:pt idx="16">
                  <c:v>0.04</c:v>
                </c:pt>
                <c:pt idx="17">
                  <c:v>3.2500000000000001E-2</c:v>
                </c:pt>
                <c:pt idx="20">
                  <c:v>0.04</c:v>
                </c:pt>
                <c:pt idx="24">
                  <c:v>9.5833333333333326E-2</c:v>
                </c:pt>
                <c:pt idx="26">
                  <c:v>3.6666666666666667E-2</c:v>
                </c:pt>
                <c:pt idx="43">
                  <c:v>0.05</c:v>
                </c:pt>
                <c:pt idx="44">
                  <c:v>5.1250000000000004E-2</c:v>
                </c:pt>
                <c:pt idx="45">
                  <c:v>0.05</c:v>
                </c:pt>
                <c:pt idx="48">
                  <c:v>0.06</c:v>
                </c:pt>
                <c:pt idx="50">
                  <c:v>0.05</c:v>
                </c:pt>
                <c:pt idx="51">
                  <c:v>0.05</c:v>
                </c:pt>
                <c:pt idx="53">
                  <c:v>2.9000000000000001E-2</c:v>
                </c:pt>
                <c:pt idx="56">
                  <c:v>5.5000000000000007E-2</c:v>
                </c:pt>
                <c:pt idx="58">
                  <c:v>0.06</c:v>
                </c:pt>
                <c:pt idx="59">
                  <c:v>0.02</c:v>
                </c:pt>
                <c:pt idx="63">
                  <c:v>0.11899999999999999</c:v>
                </c:pt>
                <c:pt idx="64">
                  <c:v>0.11899999999999999</c:v>
                </c:pt>
                <c:pt idx="65">
                  <c:v>0.11899999999999999</c:v>
                </c:pt>
                <c:pt idx="66">
                  <c:v>0.11899999999999999</c:v>
                </c:pt>
                <c:pt idx="67">
                  <c:v>7.2000000000000008E-2</c:v>
                </c:pt>
                <c:pt idx="68">
                  <c:v>8.666666666666667E-2</c:v>
                </c:pt>
                <c:pt idx="69">
                  <c:v>8.4499999999999992E-2</c:v>
                </c:pt>
                <c:pt idx="70">
                  <c:v>8.7499999999999994E-2</c:v>
                </c:pt>
                <c:pt idx="71">
                  <c:v>0.10793749999999999</c:v>
                </c:pt>
                <c:pt idx="72">
                  <c:v>0.11437499999999999</c:v>
                </c:pt>
                <c:pt idx="73">
                  <c:v>0.11750000000000001</c:v>
                </c:pt>
                <c:pt idx="74">
                  <c:v>0.12962499999999999</c:v>
                </c:pt>
                <c:pt idx="75">
                  <c:v>0.14879999999999999</c:v>
                </c:pt>
                <c:pt idx="76">
                  <c:v>0.16285714285714287</c:v>
                </c:pt>
                <c:pt idx="77">
                  <c:v>0.16921875</c:v>
                </c:pt>
                <c:pt idx="78">
                  <c:v>0.13950000000000001</c:v>
                </c:pt>
                <c:pt idx="79">
                  <c:v>0.141875</c:v>
                </c:pt>
                <c:pt idx="80">
                  <c:v>0.13750000000000001</c:v>
                </c:pt>
                <c:pt idx="81">
                  <c:v>0.18833333333333332</c:v>
                </c:pt>
                <c:pt idx="82">
                  <c:v>0.16999999999999998</c:v>
                </c:pt>
                <c:pt idx="83">
                  <c:v>0.13125000000000001</c:v>
                </c:pt>
                <c:pt idx="84">
                  <c:v>0.16</c:v>
                </c:pt>
                <c:pt idx="86">
                  <c:v>0.13249999999999998</c:v>
                </c:pt>
                <c:pt idx="87">
                  <c:v>0.22500000000000001</c:v>
                </c:pt>
                <c:pt idx="88">
                  <c:v>0.15625</c:v>
                </c:pt>
                <c:pt idx="89">
                  <c:v>8.7499999999999994E-2</c:v>
                </c:pt>
                <c:pt idx="90">
                  <c:v>0.25</c:v>
                </c:pt>
                <c:pt idx="91">
                  <c:v>0.35499999999999998</c:v>
                </c:pt>
                <c:pt idx="93">
                  <c:v>0.4366666666666667</c:v>
                </c:pt>
                <c:pt idx="94">
                  <c:v>0.43099999999999999</c:v>
                </c:pt>
                <c:pt idx="96">
                  <c:v>0.45</c:v>
                </c:pt>
                <c:pt idx="102">
                  <c:v>0.35897435897435898</c:v>
                </c:pt>
                <c:pt idx="103">
                  <c:v>0.34871794871794876</c:v>
                </c:pt>
                <c:pt idx="104">
                  <c:v>0.33846153846153848</c:v>
                </c:pt>
                <c:pt idx="105">
                  <c:v>0.29230769230769232</c:v>
                </c:pt>
                <c:pt idx="106">
                  <c:v>0.31128205128205128</c:v>
                </c:pt>
                <c:pt idx="107">
                  <c:v>0.33025641025641028</c:v>
                </c:pt>
                <c:pt idx="108">
                  <c:v>0.4102564102564103</c:v>
                </c:pt>
                <c:pt idx="109">
                  <c:v>0.42307692307692307</c:v>
                </c:pt>
                <c:pt idx="110">
                  <c:v>0.4358974358974359</c:v>
                </c:pt>
                <c:pt idx="111">
                  <c:v>0.42735042735042733</c:v>
                </c:pt>
                <c:pt idx="112">
                  <c:v>0.41880341880341881</c:v>
                </c:pt>
                <c:pt idx="113">
                  <c:v>0.4102564102564103</c:v>
                </c:pt>
                <c:pt idx="114">
                  <c:v>0.4358974358974359</c:v>
                </c:pt>
                <c:pt idx="115">
                  <c:v>0.46153846153846156</c:v>
                </c:pt>
                <c:pt idx="116">
                  <c:v>0.30769230769230771</c:v>
                </c:pt>
                <c:pt idx="117">
                  <c:v>0.15384615384615385</c:v>
                </c:pt>
                <c:pt idx="118">
                  <c:v>0.16410256410256413</c:v>
                </c:pt>
                <c:pt idx="119">
                  <c:v>0.15384615384615385</c:v>
                </c:pt>
                <c:pt idx="120">
                  <c:v>0.14358974358974361</c:v>
                </c:pt>
                <c:pt idx="121">
                  <c:v>0.15384615384615385</c:v>
                </c:pt>
                <c:pt idx="122">
                  <c:v>0.1483974358974359</c:v>
                </c:pt>
                <c:pt idx="123">
                  <c:v>0.14294871794871794</c:v>
                </c:pt>
                <c:pt idx="124">
                  <c:v>0.13749999999999998</c:v>
                </c:pt>
                <c:pt idx="125">
                  <c:v>0.13205128205128205</c:v>
                </c:pt>
                <c:pt idx="126">
                  <c:v>0.11730769230769231</c:v>
                </c:pt>
                <c:pt idx="127">
                  <c:v>0.10256410256410257</c:v>
                </c:pt>
                <c:pt idx="128">
                  <c:v>0.16410256410256413</c:v>
                </c:pt>
                <c:pt idx="129">
                  <c:v>0.15213675213675215</c:v>
                </c:pt>
                <c:pt idx="130">
                  <c:v>0.14017094017094017</c:v>
                </c:pt>
                <c:pt idx="131">
                  <c:v>0.12820512820512822</c:v>
                </c:pt>
                <c:pt idx="132">
                  <c:v>0.14102564102564102</c:v>
                </c:pt>
                <c:pt idx="133">
                  <c:v>0.14871794871794872</c:v>
                </c:pt>
                <c:pt idx="134">
                  <c:v>0.15384615384615385</c:v>
                </c:pt>
                <c:pt idx="135">
                  <c:v>0.16666666666666669</c:v>
                </c:pt>
                <c:pt idx="136">
                  <c:v>0.17948717948717949</c:v>
                </c:pt>
                <c:pt idx="137">
                  <c:v>0.24615384615384617</c:v>
                </c:pt>
                <c:pt idx="138">
                  <c:v>0.22051282051282051</c:v>
                </c:pt>
                <c:pt idx="139">
                  <c:v>0.22820512820512823</c:v>
                </c:pt>
                <c:pt idx="140">
                  <c:v>0.23589743589743595</c:v>
                </c:pt>
                <c:pt idx="141">
                  <c:v>0.22564102564102567</c:v>
                </c:pt>
                <c:pt idx="142">
                  <c:v>0.23076923076923078</c:v>
                </c:pt>
                <c:pt idx="143">
                  <c:v>0.21794871794871795</c:v>
                </c:pt>
                <c:pt idx="144">
                  <c:v>0.2153846153846154</c:v>
                </c:pt>
                <c:pt idx="145">
                  <c:v>0.22051282051282056</c:v>
                </c:pt>
                <c:pt idx="146">
                  <c:v>0.22564102564102567</c:v>
                </c:pt>
                <c:pt idx="147">
                  <c:v>0.23076923076923078</c:v>
                </c:pt>
                <c:pt idx="148">
                  <c:v>0.23589743589743595</c:v>
                </c:pt>
                <c:pt idx="149">
                  <c:v>0.24615384615384617</c:v>
                </c:pt>
                <c:pt idx="150">
                  <c:v>0.30769230769230771</c:v>
                </c:pt>
                <c:pt idx="151">
                  <c:v>0.32820512820512826</c:v>
                </c:pt>
                <c:pt idx="152">
                  <c:v>0.3025641025641026</c:v>
                </c:pt>
                <c:pt idx="153">
                  <c:v>0.28717948717948716</c:v>
                </c:pt>
                <c:pt idx="154">
                  <c:v>0.28205128205128205</c:v>
                </c:pt>
                <c:pt idx="155">
                  <c:v>0.30769230769230771</c:v>
                </c:pt>
                <c:pt idx="156">
                  <c:v>0.35897435897435898</c:v>
                </c:pt>
                <c:pt idx="157">
                  <c:v>0.30769230769230771</c:v>
                </c:pt>
                <c:pt idx="158">
                  <c:v>0.32051282051282054</c:v>
                </c:pt>
                <c:pt idx="159">
                  <c:v>0.32051282051282054</c:v>
                </c:pt>
                <c:pt idx="160">
                  <c:v>0.32692307692307693</c:v>
                </c:pt>
                <c:pt idx="161">
                  <c:v>0.33333333333333331</c:v>
                </c:pt>
                <c:pt idx="162">
                  <c:v>0.30769230769230771</c:v>
                </c:pt>
                <c:pt idx="163">
                  <c:v>0.28205128205128205</c:v>
                </c:pt>
                <c:pt idx="164">
                  <c:v>0.30769230769230771</c:v>
                </c:pt>
                <c:pt idx="165">
                  <c:v>0.34871794871794876</c:v>
                </c:pt>
                <c:pt idx="166">
                  <c:v>0.33333333333333331</c:v>
                </c:pt>
                <c:pt idx="167">
                  <c:v>0.31282051282051293</c:v>
                </c:pt>
                <c:pt idx="168">
                  <c:v>0.32307692307692309</c:v>
                </c:pt>
                <c:pt idx="169">
                  <c:v>0.32307692307692309</c:v>
                </c:pt>
                <c:pt idx="170">
                  <c:v>0.32307692307692309</c:v>
                </c:pt>
                <c:pt idx="171">
                  <c:v>0.32307692307692309</c:v>
                </c:pt>
                <c:pt idx="172">
                  <c:v>0.34871794871794876</c:v>
                </c:pt>
                <c:pt idx="173">
                  <c:v>0.32307692307692309</c:v>
                </c:pt>
                <c:pt idx="174">
                  <c:v>0.32307692307692309</c:v>
                </c:pt>
                <c:pt idx="175">
                  <c:v>0.33333333333333331</c:v>
                </c:pt>
                <c:pt idx="176">
                  <c:v>0.33846153846153848</c:v>
                </c:pt>
                <c:pt idx="177">
                  <c:v>0.33974358974358976</c:v>
                </c:pt>
                <c:pt idx="178">
                  <c:v>0.34102564102564104</c:v>
                </c:pt>
                <c:pt idx="179">
                  <c:v>0.35897435897435898</c:v>
                </c:pt>
                <c:pt idx="180">
                  <c:v>0.37948717948717953</c:v>
                </c:pt>
                <c:pt idx="181">
                  <c:v>0.4</c:v>
                </c:pt>
                <c:pt idx="182">
                  <c:v>0.4102564102564103</c:v>
                </c:pt>
                <c:pt idx="183">
                  <c:v>0.44102564102564112</c:v>
                </c:pt>
                <c:pt idx="184">
                  <c:v>0.4</c:v>
                </c:pt>
                <c:pt idx="185">
                  <c:v>0.41794871794871796</c:v>
                </c:pt>
                <c:pt idx="186">
                  <c:v>0.41666666666666669</c:v>
                </c:pt>
                <c:pt idx="187">
                  <c:v>0.44871794871794868</c:v>
                </c:pt>
                <c:pt idx="188">
                  <c:v>0.44871794871794868</c:v>
                </c:pt>
                <c:pt idx="189">
                  <c:v>0.4589743589743589</c:v>
                </c:pt>
                <c:pt idx="190">
                  <c:v>0.45128205128205134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9-4BFF-AE33-196DF5E6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68640"/>
        <c:axId val="282563360"/>
      </c:lineChart>
      <c:lineChart>
        <c:grouping val="standard"/>
        <c:varyColors val="0"/>
        <c:ser>
          <c:idx val="1"/>
          <c:order val="1"/>
          <c:tx>
            <c:strRef>
              <c:f>Sheet2!$AC$2</c:f>
              <c:strCache>
                <c:ptCount val="1"/>
                <c:pt idx="0">
                  <c:v>цены в серебре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Sheet2!$AA$3:$AA$193</c:f>
              <c:numCache>
                <c:formatCode>General</c:formatCode>
                <c:ptCount val="191"/>
                <c:pt idx="0">
                  <c:v>1573</c:v>
                </c:pt>
                <c:pt idx="1">
                  <c:v>1574</c:v>
                </c:pt>
                <c:pt idx="2">
                  <c:v>1576</c:v>
                </c:pt>
                <c:pt idx="3">
                  <c:v>1580</c:v>
                </c:pt>
                <c:pt idx="4">
                  <c:v>1585</c:v>
                </c:pt>
                <c:pt idx="5">
                  <c:v>1586</c:v>
                </c:pt>
                <c:pt idx="6">
                  <c:v>1587</c:v>
                </c:pt>
                <c:pt idx="7">
                  <c:v>1588</c:v>
                </c:pt>
                <c:pt idx="8">
                  <c:v>1593</c:v>
                </c:pt>
                <c:pt idx="9">
                  <c:v>1594</c:v>
                </c:pt>
                <c:pt idx="10">
                  <c:v>1706</c:v>
                </c:pt>
                <c:pt idx="11">
                  <c:v>1708</c:v>
                </c:pt>
                <c:pt idx="12">
                  <c:v>1718</c:v>
                </c:pt>
                <c:pt idx="13">
                  <c:v>1725</c:v>
                </c:pt>
                <c:pt idx="14">
                  <c:v>1726</c:v>
                </c:pt>
                <c:pt idx="15">
                  <c:v>1727</c:v>
                </c:pt>
                <c:pt idx="16">
                  <c:v>1728</c:v>
                </c:pt>
                <c:pt idx="17">
                  <c:v>1729</c:v>
                </c:pt>
                <c:pt idx="18">
                  <c:v>1730</c:v>
                </c:pt>
                <c:pt idx="19">
                  <c:v>1731</c:v>
                </c:pt>
                <c:pt idx="20">
                  <c:v>1732</c:v>
                </c:pt>
                <c:pt idx="21">
                  <c:v>1733</c:v>
                </c:pt>
                <c:pt idx="22">
                  <c:v>1734</c:v>
                </c:pt>
                <c:pt idx="23">
                  <c:v>1735</c:v>
                </c:pt>
                <c:pt idx="24">
                  <c:v>1736</c:v>
                </c:pt>
                <c:pt idx="25">
                  <c:v>1737</c:v>
                </c:pt>
                <c:pt idx="26">
                  <c:v>1738</c:v>
                </c:pt>
                <c:pt idx="27">
                  <c:v>1741</c:v>
                </c:pt>
                <c:pt idx="28">
                  <c:v>1744</c:v>
                </c:pt>
                <c:pt idx="29">
                  <c:v>1745</c:v>
                </c:pt>
                <c:pt idx="30">
                  <c:v>1746</c:v>
                </c:pt>
                <c:pt idx="31">
                  <c:v>1747</c:v>
                </c:pt>
                <c:pt idx="32">
                  <c:v>1748</c:v>
                </c:pt>
                <c:pt idx="33">
                  <c:v>1749</c:v>
                </c:pt>
                <c:pt idx="34">
                  <c:v>1750</c:v>
                </c:pt>
                <c:pt idx="35">
                  <c:v>1751</c:v>
                </c:pt>
                <c:pt idx="36">
                  <c:v>1752</c:v>
                </c:pt>
                <c:pt idx="37">
                  <c:v>1753</c:v>
                </c:pt>
                <c:pt idx="38">
                  <c:v>1757</c:v>
                </c:pt>
                <c:pt idx="39">
                  <c:v>1758</c:v>
                </c:pt>
                <c:pt idx="40">
                  <c:v>1759</c:v>
                </c:pt>
                <c:pt idx="41">
                  <c:v>1760</c:v>
                </c:pt>
                <c:pt idx="42">
                  <c:v>1761</c:v>
                </c:pt>
                <c:pt idx="43">
                  <c:v>1762</c:v>
                </c:pt>
                <c:pt idx="44">
                  <c:v>1763</c:v>
                </c:pt>
                <c:pt idx="45">
                  <c:v>1764</c:v>
                </c:pt>
                <c:pt idx="46">
                  <c:v>1765</c:v>
                </c:pt>
                <c:pt idx="47">
                  <c:v>1766</c:v>
                </c:pt>
                <c:pt idx="48">
                  <c:v>1767</c:v>
                </c:pt>
                <c:pt idx="49">
                  <c:v>1768</c:v>
                </c:pt>
                <c:pt idx="50">
                  <c:v>1769</c:v>
                </c:pt>
                <c:pt idx="51">
                  <c:v>1770</c:v>
                </c:pt>
                <c:pt idx="52">
                  <c:v>1771</c:v>
                </c:pt>
                <c:pt idx="53">
                  <c:v>1772</c:v>
                </c:pt>
                <c:pt idx="54">
                  <c:v>1773</c:v>
                </c:pt>
                <c:pt idx="55">
                  <c:v>1774</c:v>
                </c:pt>
                <c:pt idx="56">
                  <c:v>1775</c:v>
                </c:pt>
                <c:pt idx="57">
                  <c:v>1776</c:v>
                </c:pt>
                <c:pt idx="58">
                  <c:v>1777</c:v>
                </c:pt>
                <c:pt idx="59">
                  <c:v>1778</c:v>
                </c:pt>
                <c:pt idx="60">
                  <c:v>1779</c:v>
                </c:pt>
                <c:pt idx="61">
                  <c:v>1780</c:v>
                </c:pt>
                <c:pt idx="62">
                  <c:v>1781</c:v>
                </c:pt>
                <c:pt idx="63">
                  <c:v>1782</c:v>
                </c:pt>
                <c:pt idx="64">
                  <c:v>1783</c:v>
                </c:pt>
                <c:pt idx="65">
                  <c:v>1784</c:v>
                </c:pt>
                <c:pt idx="66">
                  <c:v>1785</c:v>
                </c:pt>
                <c:pt idx="67">
                  <c:v>1786</c:v>
                </c:pt>
                <c:pt idx="68">
                  <c:v>1787</c:v>
                </c:pt>
                <c:pt idx="69">
                  <c:v>1788</c:v>
                </c:pt>
                <c:pt idx="70">
                  <c:v>1789</c:v>
                </c:pt>
                <c:pt idx="71">
                  <c:v>1790</c:v>
                </c:pt>
                <c:pt idx="72">
                  <c:v>1791</c:v>
                </c:pt>
                <c:pt idx="73">
                  <c:v>1792</c:v>
                </c:pt>
                <c:pt idx="74">
                  <c:v>1793</c:v>
                </c:pt>
                <c:pt idx="75">
                  <c:v>1794</c:v>
                </c:pt>
                <c:pt idx="76">
                  <c:v>1795</c:v>
                </c:pt>
                <c:pt idx="77">
                  <c:v>1796</c:v>
                </c:pt>
                <c:pt idx="78">
                  <c:v>1797</c:v>
                </c:pt>
                <c:pt idx="79">
                  <c:v>1798</c:v>
                </c:pt>
                <c:pt idx="80">
                  <c:v>1799</c:v>
                </c:pt>
                <c:pt idx="81">
                  <c:v>1800</c:v>
                </c:pt>
                <c:pt idx="82">
                  <c:v>1801</c:v>
                </c:pt>
                <c:pt idx="83">
                  <c:v>1802</c:v>
                </c:pt>
                <c:pt idx="84">
                  <c:v>1803</c:v>
                </c:pt>
                <c:pt idx="85">
                  <c:v>1804</c:v>
                </c:pt>
                <c:pt idx="86">
                  <c:v>1805</c:v>
                </c:pt>
                <c:pt idx="87">
                  <c:v>1806</c:v>
                </c:pt>
                <c:pt idx="88">
                  <c:v>1807</c:v>
                </c:pt>
                <c:pt idx="89">
                  <c:v>1808</c:v>
                </c:pt>
                <c:pt idx="90">
                  <c:v>1809</c:v>
                </c:pt>
                <c:pt idx="91">
                  <c:v>1810</c:v>
                </c:pt>
                <c:pt idx="92">
                  <c:v>1811</c:v>
                </c:pt>
                <c:pt idx="93">
                  <c:v>1812</c:v>
                </c:pt>
                <c:pt idx="94">
                  <c:v>1813</c:v>
                </c:pt>
                <c:pt idx="95">
                  <c:v>1814</c:v>
                </c:pt>
                <c:pt idx="96">
                  <c:v>1815</c:v>
                </c:pt>
                <c:pt idx="97">
                  <c:v>1816</c:v>
                </c:pt>
                <c:pt idx="98">
                  <c:v>1817</c:v>
                </c:pt>
                <c:pt idx="99">
                  <c:v>1818</c:v>
                </c:pt>
                <c:pt idx="100">
                  <c:v>1819</c:v>
                </c:pt>
                <c:pt idx="101">
                  <c:v>1824</c:v>
                </c:pt>
                <c:pt idx="102">
                  <c:v>1825</c:v>
                </c:pt>
                <c:pt idx="103">
                  <c:v>1826</c:v>
                </c:pt>
                <c:pt idx="104">
                  <c:v>1827</c:v>
                </c:pt>
                <c:pt idx="105">
                  <c:v>1828</c:v>
                </c:pt>
                <c:pt idx="106">
                  <c:v>1829</c:v>
                </c:pt>
                <c:pt idx="107">
                  <c:v>1830</c:v>
                </c:pt>
                <c:pt idx="108">
                  <c:v>1831</c:v>
                </c:pt>
                <c:pt idx="109">
                  <c:v>1832</c:v>
                </c:pt>
                <c:pt idx="110">
                  <c:v>1833</c:v>
                </c:pt>
                <c:pt idx="111">
                  <c:v>1834</c:v>
                </c:pt>
                <c:pt idx="112">
                  <c:v>1835</c:v>
                </c:pt>
                <c:pt idx="113">
                  <c:v>1836</c:v>
                </c:pt>
                <c:pt idx="114">
                  <c:v>1837</c:v>
                </c:pt>
                <c:pt idx="115">
                  <c:v>1838</c:v>
                </c:pt>
                <c:pt idx="116">
                  <c:v>1839</c:v>
                </c:pt>
                <c:pt idx="117">
                  <c:v>1840</c:v>
                </c:pt>
                <c:pt idx="118">
                  <c:v>1841</c:v>
                </c:pt>
                <c:pt idx="119">
                  <c:v>1842</c:v>
                </c:pt>
                <c:pt idx="120">
                  <c:v>1843</c:v>
                </c:pt>
                <c:pt idx="121">
                  <c:v>1844</c:v>
                </c:pt>
                <c:pt idx="122">
                  <c:v>1845</c:v>
                </c:pt>
                <c:pt idx="123">
                  <c:v>1846</c:v>
                </c:pt>
                <c:pt idx="124">
                  <c:v>1847</c:v>
                </c:pt>
                <c:pt idx="125">
                  <c:v>1848</c:v>
                </c:pt>
                <c:pt idx="126">
                  <c:v>1849</c:v>
                </c:pt>
                <c:pt idx="127">
                  <c:v>1850</c:v>
                </c:pt>
                <c:pt idx="128">
                  <c:v>1851</c:v>
                </c:pt>
                <c:pt idx="129">
                  <c:v>1852</c:v>
                </c:pt>
                <c:pt idx="130">
                  <c:v>1853</c:v>
                </c:pt>
                <c:pt idx="131">
                  <c:v>1854</c:v>
                </c:pt>
                <c:pt idx="132">
                  <c:v>1855</c:v>
                </c:pt>
                <c:pt idx="133">
                  <c:v>1856</c:v>
                </c:pt>
                <c:pt idx="134">
                  <c:v>1857</c:v>
                </c:pt>
                <c:pt idx="135">
                  <c:v>1858</c:v>
                </c:pt>
                <c:pt idx="136">
                  <c:v>1859</c:v>
                </c:pt>
                <c:pt idx="137">
                  <c:v>1860</c:v>
                </c:pt>
                <c:pt idx="138">
                  <c:v>1861</c:v>
                </c:pt>
                <c:pt idx="139">
                  <c:v>1862</c:v>
                </c:pt>
                <c:pt idx="140">
                  <c:v>1863</c:v>
                </c:pt>
                <c:pt idx="141">
                  <c:v>1864</c:v>
                </c:pt>
                <c:pt idx="142">
                  <c:v>1865</c:v>
                </c:pt>
                <c:pt idx="143">
                  <c:v>1866</c:v>
                </c:pt>
                <c:pt idx="144">
                  <c:v>1867</c:v>
                </c:pt>
                <c:pt idx="145">
                  <c:v>1868</c:v>
                </c:pt>
                <c:pt idx="146">
                  <c:v>1869</c:v>
                </c:pt>
                <c:pt idx="147">
                  <c:v>1870</c:v>
                </c:pt>
                <c:pt idx="148">
                  <c:v>1871</c:v>
                </c:pt>
                <c:pt idx="149">
                  <c:v>1872</c:v>
                </c:pt>
                <c:pt idx="150">
                  <c:v>1873</c:v>
                </c:pt>
                <c:pt idx="151">
                  <c:v>1874</c:v>
                </c:pt>
                <c:pt idx="152">
                  <c:v>1875</c:v>
                </c:pt>
                <c:pt idx="153">
                  <c:v>1876</c:v>
                </c:pt>
                <c:pt idx="154">
                  <c:v>1877</c:v>
                </c:pt>
                <c:pt idx="155">
                  <c:v>1878</c:v>
                </c:pt>
                <c:pt idx="156">
                  <c:v>1879</c:v>
                </c:pt>
                <c:pt idx="157">
                  <c:v>1880</c:v>
                </c:pt>
                <c:pt idx="158">
                  <c:v>1881</c:v>
                </c:pt>
                <c:pt idx="159">
                  <c:v>1882</c:v>
                </c:pt>
                <c:pt idx="160">
                  <c:v>1883</c:v>
                </c:pt>
                <c:pt idx="161">
                  <c:v>1884</c:v>
                </c:pt>
                <c:pt idx="162">
                  <c:v>1885</c:v>
                </c:pt>
                <c:pt idx="163">
                  <c:v>1886</c:v>
                </c:pt>
                <c:pt idx="164">
                  <c:v>1887</c:v>
                </c:pt>
                <c:pt idx="165">
                  <c:v>1888</c:v>
                </c:pt>
                <c:pt idx="166">
                  <c:v>1889</c:v>
                </c:pt>
                <c:pt idx="167">
                  <c:v>1890</c:v>
                </c:pt>
                <c:pt idx="168">
                  <c:v>1891</c:v>
                </c:pt>
                <c:pt idx="169">
                  <c:v>1892</c:v>
                </c:pt>
                <c:pt idx="170">
                  <c:v>1893</c:v>
                </c:pt>
                <c:pt idx="171">
                  <c:v>1894</c:v>
                </c:pt>
                <c:pt idx="172">
                  <c:v>1895</c:v>
                </c:pt>
                <c:pt idx="173">
                  <c:v>1896</c:v>
                </c:pt>
                <c:pt idx="174">
                  <c:v>1897</c:v>
                </c:pt>
                <c:pt idx="175">
                  <c:v>1898</c:v>
                </c:pt>
                <c:pt idx="176">
                  <c:v>1899</c:v>
                </c:pt>
                <c:pt idx="177">
                  <c:v>1900</c:v>
                </c:pt>
                <c:pt idx="178">
                  <c:v>1901</c:v>
                </c:pt>
                <c:pt idx="179">
                  <c:v>1902</c:v>
                </c:pt>
                <c:pt idx="180">
                  <c:v>1903</c:v>
                </c:pt>
                <c:pt idx="181">
                  <c:v>1904</c:v>
                </c:pt>
                <c:pt idx="182">
                  <c:v>1905</c:v>
                </c:pt>
                <c:pt idx="183">
                  <c:v>1906</c:v>
                </c:pt>
                <c:pt idx="184">
                  <c:v>1907</c:v>
                </c:pt>
                <c:pt idx="185">
                  <c:v>1908</c:v>
                </c:pt>
                <c:pt idx="186">
                  <c:v>1909</c:v>
                </c:pt>
                <c:pt idx="187">
                  <c:v>1910</c:v>
                </c:pt>
                <c:pt idx="188">
                  <c:v>1911</c:v>
                </c:pt>
                <c:pt idx="189">
                  <c:v>1912</c:v>
                </c:pt>
                <c:pt idx="190">
                  <c:v>1913</c:v>
                </c:pt>
              </c:numCache>
            </c:numRef>
          </c:cat>
          <c:val>
            <c:numRef>
              <c:f>Sheet2!$AC$3:$AC$193</c:f>
              <c:numCache>
                <c:formatCode>General</c:formatCode>
                <c:ptCount val="191"/>
                <c:pt idx="0">
                  <c:v>1.6891999999999999E-3</c:v>
                </c:pt>
                <c:pt idx="1">
                  <c:v>1.9775999999999999E-3</c:v>
                </c:pt>
                <c:pt idx="2">
                  <c:v>2.4720000000000002E-3</c:v>
                </c:pt>
                <c:pt idx="3">
                  <c:v>2.7191999999999997E-3</c:v>
                </c:pt>
                <c:pt idx="4">
                  <c:v>4.6349999999999994E-3</c:v>
                </c:pt>
                <c:pt idx="5">
                  <c:v>3.5843999999999997E-3</c:v>
                </c:pt>
                <c:pt idx="6">
                  <c:v>4.326E-3</c:v>
                </c:pt>
                <c:pt idx="7">
                  <c:v>3.0899999999999999E-3</c:v>
                </c:pt>
                <c:pt idx="8">
                  <c:v>3.7079999999999995E-3</c:v>
                </c:pt>
                <c:pt idx="9">
                  <c:v>3.7079999999999995E-3</c:v>
                </c:pt>
                <c:pt idx="12">
                  <c:v>9.5228750000000001E-3</c:v>
                </c:pt>
                <c:pt idx="13">
                  <c:v>1.4155624999999999E-3</c:v>
                </c:pt>
                <c:pt idx="16">
                  <c:v>8.2360000000000003E-3</c:v>
                </c:pt>
                <c:pt idx="17">
                  <c:v>6.6917499999999998E-3</c:v>
                </c:pt>
                <c:pt idx="20">
                  <c:v>8.2959999999999996E-3</c:v>
                </c:pt>
                <c:pt idx="24">
                  <c:v>1.9875833333333329E-2</c:v>
                </c:pt>
                <c:pt idx="26">
                  <c:v>7.6046666666666658E-3</c:v>
                </c:pt>
                <c:pt idx="43">
                  <c:v>1.0369999999999999E-2</c:v>
                </c:pt>
                <c:pt idx="44">
                  <c:v>1.062925E-2</c:v>
                </c:pt>
                <c:pt idx="45">
                  <c:v>9.0000000000000011E-3</c:v>
                </c:pt>
                <c:pt idx="48">
                  <c:v>1.0800000000000001E-2</c:v>
                </c:pt>
                <c:pt idx="50">
                  <c:v>8.9108910891089119E-3</c:v>
                </c:pt>
                <c:pt idx="51">
                  <c:v>8.9108910891089119E-3</c:v>
                </c:pt>
                <c:pt idx="53">
                  <c:v>5.0679611650485444E-3</c:v>
                </c:pt>
                <c:pt idx="56">
                  <c:v>9.8019801980198037E-3</c:v>
                </c:pt>
                <c:pt idx="58">
                  <c:v>1.0693069306930694E-2</c:v>
                </c:pt>
                <c:pt idx="59">
                  <c:v>3.5643564356435641E-3</c:v>
                </c:pt>
                <c:pt idx="63">
                  <c:v>2.1207920792079209E-2</c:v>
                </c:pt>
                <c:pt idx="64">
                  <c:v>2.1207920792079209E-2</c:v>
                </c:pt>
                <c:pt idx="65">
                  <c:v>2.0999999999999998E-2</c:v>
                </c:pt>
                <c:pt idx="66">
                  <c:v>2.0999999999999998E-2</c:v>
                </c:pt>
                <c:pt idx="67">
                  <c:v>1.2705882352941176E-2</c:v>
                </c:pt>
                <c:pt idx="68">
                  <c:v>1.5145631067961164E-2</c:v>
                </c:pt>
                <c:pt idx="69">
                  <c:v>1.408333333333333E-2</c:v>
                </c:pt>
                <c:pt idx="70">
                  <c:v>1.4449541284403669E-2</c:v>
                </c:pt>
                <c:pt idx="71">
                  <c:v>1.6894565217391303E-2</c:v>
                </c:pt>
                <c:pt idx="72">
                  <c:v>1.6737804878048778E-2</c:v>
                </c:pt>
                <c:pt idx="73">
                  <c:v>1.6785714285714286E-2</c:v>
                </c:pt>
                <c:pt idx="74">
                  <c:v>1.7283333333333331E-2</c:v>
                </c:pt>
                <c:pt idx="75">
                  <c:v>1.8995744680851065E-2</c:v>
                </c:pt>
                <c:pt idx="76">
                  <c:v>2.0078277886497062E-2</c:v>
                </c:pt>
                <c:pt idx="77">
                  <c:v>2.1450264084507044E-2</c:v>
                </c:pt>
                <c:pt idx="78">
                  <c:v>1.9928571428571431E-2</c:v>
                </c:pt>
                <c:pt idx="79">
                  <c:v>1.864051094890511E-2</c:v>
                </c:pt>
                <c:pt idx="80">
                  <c:v>1.6390728476821197E-2</c:v>
                </c:pt>
                <c:pt idx="81">
                  <c:v>2.2156862745098042E-2</c:v>
                </c:pt>
                <c:pt idx="82">
                  <c:v>2.0264900662251652E-2</c:v>
                </c:pt>
                <c:pt idx="83">
                  <c:v>1.711956521739131E-2</c:v>
                </c:pt>
                <c:pt idx="84">
                  <c:v>2.3040000000000001E-2</c:v>
                </c:pt>
                <c:pt idx="86">
                  <c:v>1.8346153846153842E-2</c:v>
                </c:pt>
                <c:pt idx="87">
                  <c:v>3.0223880597014922E-2</c:v>
                </c:pt>
                <c:pt idx="88">
                  <c:v>1.8875838926174497E-2</c:v>
                </c:pt>
                <c:pt idx="89">
                  <c:v>9.4379194630872486E-3</c:v>
                </c:pt>
                <c:pt idx="90">
                  <c:v>2.0179372197309416E-2</c:v>
                </c:pt>
                <c:pt idx="91">
                  <c:v>2.1087000000000002E-2</c:v>
                </c:pt>
                <c:pt idx="93">
                  <c:v>2.5937999999999999E-2</c:v>
                </c:pt>
                <c:pt idx="94">
                  <c:v>2.56014E-2</c:v>
                </c:pt>
                <c:pt idx="96">
                  <c:v>1.6200000000000003E-2</c:v>
                </c:pt>
                <c:pt idx="102">
                  <c:v>1.7446153846153847E-2</c:v>
                </c:pt>
                <c:pt idx="103">
                  <c:v>1.6947692307692309E-2</c:v>
                </c:pt>
                <c:pt idx="104">
                  <c:v>1.6449230769230772E-2</c:v>
                </c:pt>
                <c:pt idx="105">
                  <c:v>1.4206153846153846E-2</c:v>
                </c:pt>
                <c:pt idx="106">
                  <c:v>1.5128307692307694E-2</c:v>
                </c:pt>
                <c:pt idx="107">
                  <c:v>1.6050461538461541E-2</c:v>
                </c:pt>
                <c:pt idx="108">
                  <c:v>1.993846153846154E-2</c:v>
                </c:pt>
                <c:pt idx="109">
                  <c:v>2.0561538461538461E-2</c:v>
                </c:pt>
                <c:pt idx="110">
                  <c:v>2.1184615384615389E-2</c:v>
                </c:pt>
                <c:pt idx="111">
                  <c:v>2.0769230769230772E-2</c:v>
                </c:pt>
                <c:pt idx="112">
                  <c:v>2.0353846153846156E-2</c:v>
                </c:pt>
                <c:pt idx="113">
                  <c:v>2.0233846153846158E-2</c:v>
                </c:pt>
                <c:pt idx="114">
                  <c:v>2.1498461538461536E-2</c:v>
                </c:pt>
                <c:pt idx="115">
                  <c:v>2.2763076923076928E-2</c:v>
                </c:pt>
                <c:pt idx="116">
                  <c:v>1.5175384615384617E-2</c:v>
                </c:pt>
                <c:pt idx="117">
                  <c:v>7.5876923076923083E-3</c:v>
                </c:pt>
                <c:pt idx="118">
                  <c:v>8.0935384615384628E-3</c:v>
                </c:pt>
                <c:pt idx="119">
                  <c:v>7.5876923076923083E-3</c:v>
                </c:pt>
                <c:pt idx="120">
                  <c:v>7.0818461538461556E-3</c:v>
                </c:pt>
                <c:pt idx="121">
                  <c:v>7.5876923076923083E-3</c:v>
                </c:pt>
                <c:pt idx="122">
                  <c:v>7.3189615384615389E-3</c:v>
                </c:pt>
                <c:pt idx="123">
                  <c:v>7.0502307692307687E-3</c:v>
                </c:pt>
                <c:pt idx="124">
                  <c:v>6.7815000000000002E-3</c:v>
                </c:pt>
                <c:pt idx="125">
                  <c:v>6.5127692307692308E-3</c:v>
                </c:pt>
                <c:pt idx="126">
                  <c:v>5.7856153846153847E-3</c:v>
                </c:pt>
                <c:pt idx="127">
                  <c:v>5.0584615384615395E-3</c:v>
                </c:pt>
                <c:pt idx="128">
                  <c:v>8.0935384615384628E-3</c:v>
                </c:pt>
                <c:pt idx="129">
                  <c:v>7.5033846153846166E-3</c:v>
                </c:pt>
                <c:pt idx="130">
                  <c:v>6.9132307692307696E-3</c:v>
                </c:pt>
                <c:pt idx="131">
                  <c:v>2.1923076923076924E-2</c:v>
                </c:pt>
                <c:pt idx="132">
                  <c:v>2.4115384615384615E-2</c:v>
                </c:pt>
                <c:pt idx="133">
                  <c:v>2.5430769230769226E-2</c:v>
                </c:pt>
                <c:pt idx="134">
                  <c:v>2.6307692307692306E-2</c:v>
                </c:pt>
                <c:pt idx="135">
                  <c:v>2.8500000000000004E-2</c:v>
                </c:pt>
                <c:pt idx="136">
                  <c:v>3.0692307692307696E-2</c:v>
                </c:pt>
                <c:pt idx="137">
                  <c:v>4.2092307692307693E-2</c:v>
                </c:pt>
                <c:pt idx="138">
                  <c:v>3.7707692307692303E-2</c:v>
                </c:pt>
                <c:pt idx="139">
                  <c:v>3.9023076923076924E-2</c:v>
                </c:pt>
                <c:pt idx="140">
                  <c:v>4.0338461538461538E-2</c:v>
                </c:pt>
                <c:pt idx="141">
                  <c:v>3.8584615384615391E-2</c:v>
                </c:pt>
                <c:pt idx="142">
                  <c:v>3.4476923076923079E-2</c:v>
                </c:pt>
                <c:pt idx="143">
                  <c:v>3.2561538461538461E-2</c:v>
                </c:pt>
                <c:pt idx="144">
                  <c:v>3.2178461538461538E-2</c:v>
                </c:pt>
                <c:pt idx="145">
                  <c:v>3.2944615384615392E-2</c:v>
                </c:pt>
                <c:pt idx="146">
                  <c:v>3.3710769230769232E-2</c:v>
                </c:pt>
                <c:pt idx="147">
                  <c:v>3.323076923076923E-2</c:v>
                </c:pt>
                <c:pt idx="148">
                  <c:v>3.3969230769230779E-2</c:v>
                </c:pt>
                <c:pt idx="149">
                  <c:v>3.5446153846153849E-2</c:v>
                </c:pt>
                <c:pt idx="150">
                  <c:v>4.4307692307692312E-2</c:v>
                </c:pt>
                <c:pt idx="151">
                  <c:v>4.7261538461538473E-2</c:v>
                </c:pt>
                <c:pt idx="152">
                  <c:v>4.3569230769230777E-2</c:v>
                </c:pt>
                <c:pt idx="153">
                  <c:v>2.7800531188720924E-2</c:v>
                </c:pt>
                <c:pt idx="154">
                  <c:v>2.7304093131779481E-2</c:v>
                </c:pt>
                <c:pt idx="155">
                  <c:v>2.978628341648671E-2</c:v>
                </c:pt>
                <c:pt idx="156">
                  <c:v>3.475066398590116E-2</c:v>
                </c:pt>
                <c:pt idx="157">
                  <c:v>2.978628341648671E-2</c:v>
                </c:pt>
                <c:pt idx="158">
                  <c:v>3.1027378558840323E-2</c:v>
                </c:pt>
                <c:pt idx="159">
                  <c:v>3.1027378558840323E-2</c:v>
                </c:pt>
                <c:pt idx="160">
                  <c:v>3.1647926130017129E-2</c:v>
                </c:pt>
                <c:pt idx="161">
                  <c:v>3.2268473701193928E-2</c:v>
                </c:pt>
                <c:pt idx="162">
                  <c:v>2.978628341648671E-2</c:v>
                </c:pt>
                <c:pt idx="163">
                  <c:v>2.7304093131779481E-2</c:v>
                </c:pt>
                <c:pt idx="164">
                  <c:v>2.978628341648671E-2</c:v>
                </c:pt>
                <c:pt idx="165">
                  <c:v>3.3757787872018274E-2</c:v>
                </c:pt>
                <c:pt idx="166">
                  <c:v>3.2268473701193928E-2</c:v>
                </c:pt>
                <c:pt idx="167">
                  <c:v>3.0282721473428163E-2</c:v>
                </c:pt>
                <c:pt idx="168">
                  <c:v>3.1275597587311042E-2</c:v>
                </c:pt>
                <c:pt idx="169">
                  <c:v>3.1275597587311042E-2</c:v>
                </c:pt>
                <c:pt idx="170">
                  <c:v>3.1275597587311042E-2</c:v>
                </c:pt>
                <c:pt idx="171">
                  <c:v>3.1275597587311042E-2</c:v>
                </c:pt>
                <c:pt idx="172">
                  <c:v>3.3757787872018274E-2</c:v>
                </c:pt>
                <c:pt idx="173">
                  <c:v>3.1275597587311042E-2</c:v>
                </c:pt>
                <c:pt idx="174">
                  <c:v>3.1275597587311042E-2</c:v>
                </c:pt>
                <c:pt idx="175">
                  <c:v>3.2268473701193928E-2</c:v>
                </c:pt>
                <c:pt idx="176">
                  <c:v>3.2764911758135382E-2</c:v>
                </c:pt>
                <c:pt idx="177">
                  <c:v>3.2889021272370741E-2</c:v>
                </c:pt>
                <c:pt idx="178">
                  <c:v>3.3013130786606101E-2</c:v>
                </c:pt>
                <c:pt idx="179">
                  <c:v>3.475066398590116E-2</c:v>
                </c:pt>
                <c:pt idx="180">
                  <c:v>3.6736416213666946E-2</c:v>
                </c:pt>
                <c:pt idx="181">
                  <c:v>3.8722168441432725E-2</c:v>
                </c:pt>
                <c:pt idx="182">
                  <c:v>3.9715044555315611E-2</c:v>
                </c:pt>
                <c:pt idx="183">
                  <c:v>4.269367289696429E-2</c:v>
                </c:pt>
                <c:pt idx="184">
                  <c:v>3.8722168441432725E-2</c:v>
                </c:pt>
                <c:pt idx="185">
                  <c:v>4.0459701640727777E-2</c:v>
                </c:pt>
                <c:pt idx="186">
                  <c:v>4.0335592126492417E-2</c:v>
                </c:pt>
                <c:pt idx="187">
                  <c:v>4.3438329982376442E-2</c:v>
                </c:pt>
                <c:pt idx="188">
                  <c:v>4.3438329982376442E-2</c:v>
                </c:pt>
                <c:pt idx="189">
                  <c:v>4.4431206096259335E-2</c:v>
                </c:pt>
                <c:pt idx="190">
                  <c:v>4.3686549010847175E-2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9-4BFF-AE33-196DF5E6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61440"/>
        <c:axId val="282548000"/>
      </c:lineChart>
      <c:catAx>
        <c:axId val="28256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3360"/>
        <c:crosses val="autoZero"/>
        <c:auto val="1"/>
        <c:lblAlgn val="ctr"/>
        <c:lblOffset val="100"/>
        <c:noMultiLvlLbl val="0"/>
      </c:catAx>
      <c:valAx>
        <c:axId val="28256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50"/>
                  <a:t>номинальные</a:t>
                </a:r>
                <a:r>
                  <a:rPr lang="ru-RU" sz="1050" baseline="0"/>
                  <a:t> рубли</a:t>
                </a:r>
                <a:endParaRPr lang="it-IT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8640"/>
        <c:crosses val="autoZero"/>
        <c:crossBetween val="between"/>
      </c:valAx>
      <c:valAx>
        <c:axId val="282548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в перерасчете</a:t>
                </a:r>
                <a:r>
                  <a:rPr lang="ru-RU" baseline="0"/>
                  <a:t> на серебро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1440"/>
        <c:crosses val="max"/>
        <c:crossBetween val="between"/>
      </c:valAx>
      <c:catAx>
        <c:axId val="282561440"/>
        <c:scaling>
          <c:orientation val="minMax"/>
        </c:scaling>
        <c:delete val="1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82548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'wages for Moscow in silver AK'!$AB$3</c:f>
              <c:strCache>
                <c:ptCount val="1"/>
                <c:pt idx="0">
                  <c:v>blacksmith (roubles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AK'!$AB$4:$AB$120</c:f>
            </c:numRef>
          </c:val>
          <c:smooth val="0"/>
          <c:extLst>
            <c:ext xmlns:c16="http://schemas.microsoft.com/office/drawing/2014/chart" uri="{C3380CC4-5D6E-409C-BE32-E72D297353CC}">
              <c16:uniqueId val="{00000000-C25A-4FF7-A368-F94E0BB100EE}"/>
            </c:ext>
          </c:extLst>
        </c:ser>
        <c:ser>
          <c:idx val="2"/>
          <c:order val="2"/>
          <c:tx>
            <c:strRef>
              <c:f>'wages for Moscow in silver AK'!$AD$3</c:f>
              <c:strCache>
                <c:ptCount val="1"/>
                <c:pt idx="0">
                  <c:v>bricklayer (roubles)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AK'!$AD$4:$AD$120</c:f>
            </c:numRef>
          </c:val>
          <c:smooth val="0"/>
          <c:extLst>
            <c:ext xmlns:c16="http://schemas.microsoft.com/office/drawing/2014/chart" uri="{C3380CC4-5D6E-409C-BE32-E72D297353CC}">
              <c16:uniqueId val="{00000002-C25A-4FF7-A368-F94E0BB100EE}"/>
            </c:ext>
          </c:extLst>
        </c:ser>
        <c:ser>
          <c:idx val="4"/>
          <c:order val="4"/>
          <c:tx>
            <c:strRef>
              <c:f>'wages for Moscow in silver AK'!$AF$3</c:f>
              <c:strCache>
                <c:ptCount val="1"/>
                <c:pt idx="0">
                  <c:v>brickmaker (roubles)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AK'!$AF$4:$AF$120</c:f>
            </c:numRef>
          </c:val>
          <c:smooth val="0"/>
          <c:extLst>
            <c:ext xmlns:c16="http://schemas.microsoft.com/office/drawing/2014/chart" uri="{C3380CC4-5D6E-409C-BE32-E72D297353CC}">
              <c16:uniqueId val="{00000004-C25A-4FF7-A368-F94E0BB100EE}"/>
            </c:ext>
          </c:extLst>
        </c:ser>
        <c:ser>
          <c:idx val="6"/>
          <c:order val="6"/>
          <c:tx>
            <c:strRef>
              <c:f>'wages for Moscow in silver AK'!$AH$3</c:f>
              <c:strCache>
                <c:ptCount val="1"/>
                <c:pt idx="0">
                  <c:v>carpenter (roubles)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AK'!$AH$4:$AH$120</c:f>
              <c:numCache>
                <c:formatCode>0.00</c:formatCode>
                <c:ptCount val="117"/>
                <c:pt idx="11">
                  <c:v>1.4545454545454545E-2</c:v>
                </c:pt>
                <c:pt idx="23">
                  <c:v>0.25</c:v>
                </c:pt>
                <c:pt idx="25">
                  <c:v>7.0000000000000007E-2</c:v>
                </c:pt>
                <c:pt idx="29">
                  <c:v>0.03</c:v>
                </c:pt>
                <c:pt idx="31">
                  <c:v>0.28833333333333333</c:v>
                </c:pt>
                <c:pt idx="32">
                  <c:v>0.18333333333333335</c:v>
                </c:pt>
                <c:pt idx="40">
                  <c:v>0.48333333333333339</c:v>
                </c:pt>
                <c:pt idx="43">
                  <c:v>0.15</c:v>
                </c:pt>
                <c:pt idx="45">
                  <c:v>0.8</c:v>
                </c:pt>
                <c:pt idx="54">
                  <c:v>0.55000000000000004</c:v>
                </c:pt>
                <c:pt idx="58">
                  <c:v>1.4</c:v>
                </c:pt>
                <c:pt idx="63">
                  <c:v>2.5</c:v>
                </c:pt>
                <c:pt idx="68">
                  <c:v>1.75</c:v>
                </c:pt>
                <c:pt idx="69">
                  <c:v>0.7</c:v>
                </c:pt>
                <c:pt idx="74">
                  <c:v>1.8</c:v>
                </c:pt>
                <c:pt idx="76">
                  <c:v>1.9</c:v>
                </c:pt>
                <c:pt idx="79">
                  <c:v>1.9</c:v>
                </c:pt>
                <c:pt idx="81">
                  <c:v>1.8</c:v>
                </c:pt>
                <c:pt idx="82">
                  <c:v>0.5</c:v>
                </c:pt>
                <c:pt idx="83">
                  <c:v>0.6</c:v>
                </c:pt>
                <c:pt idx="84">
                  <c:v>0.5</c:v>
                </c:pt>
                <c:pt idx="85">
                  <c:v>0.4</c:v>
                </c:pt>
                <c:pt idx="86">
                  <c:v>0.5</c:v>
                </c:pt>
                <c:pt idx="87">
                  <c:v>0.65</c:v>
                </c:pt>
                <c:pt idx="88">
                  <c:v>0.45</c:v>
                </c:pt>
                <c:pt idx="89">
                  <c:v>0.65</c:v>
                </c:pt>
                <c:pt idx="90">
                  <c:v>0.5</c:v>
                </c:pt>
                <c:pt idx="91">
                  <c:v>0.45</c:v>
                </c:pt>
                <c:pt idx="92">
                  <c:v>0.4</c:v>
                </c:pt>
                <c:pt idx="93">
                  <c:v>0.4</c:v>
                </c:pt>
                <c:pt idx="94">
                  <c:v>0.5</c:v>
                </c:pt>
                <c:pt idx="95">
                  <c:v>0.45</c:v>
                </c:pt>
                <c:pt idx="96">
                  <c:v>0.45</c:v>
                </c:pt>
                <c:pt idx="97">
                  <c:v>0.5</c:v>
                </c:pt>
                <c:pt idx="98">
                  <c:v>0.6</c:v>
                </c:pt>
                <c:pt idx="100">
                  <c:v>0.8</c:v>
                </c:pt>
                <c:pt idx="101">
                  <c:v>0.85</c:v>
                </c:pt>
                <c:pt idx="102">
                  <c:v>0.9</c:v>
                </c:pt>
                <c:pt idx="103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1.1000000000000001</c:v>
                </c:pt>
                <c:pt idx="108">
                  <c:v>1.1000000000000001</c:v>
                </c:pt>
                <c:pt idx="109">
                  <c:v>1.1000000000000001</c:v>
                </c:pt>
                <c:pt idx="113">
                  <c:v>1.17</c:v>
                </c:pt>
                <c:pt idx="114">
                  <c:v>1.2041667</c:v>
                </c:pt>
                <c:pt idx="115">
                  <c:v>1.1625000000000001</c:v>
                </c:pt>
                <c:pt idx="116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5A-4FF7-A368-F94E0BB100EE}"/>
            </c:ext>
          </c:extLst>
        </c:ser>
        <c:ser>
          <c:idx val="8"/>
          <c:order val="8"/>
          <c:tx>
            <c:strRef>
              <c:f>'wages for Moscow in silver AK'!$AJ$3</c:f>
              <c:strCache>
                <c:ptCount val="1"/>
                <c:pt idx="0">
                  <c:v>labourer (roubles)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AK'!$AJ$4:$AJ$120</c:f>
              <c:numCache>
                <c:formatCode>0.00</c:formatCode>
                <c:ptCount val="117"/>
                <c:pt idx="0">
                  <c:v>0.06</c:v>
                </c:pt>
                <c:pt idx="3">
                  <c:v>2.5000000000000001E-2</c:v>
                </c:pt>
                <c:pt idx="4">
                  <c:v>4.4999999999999998E-2</c:v>
                </c:pt>
                <c:pt idx="6">
                  <c:v>1.6E-2</c:v>
                </c:pt>
                <c:pt idx="7">
                  <c:v>0.08</c:v>
                </c:pt>
                <c:pt idx="8">
                  <c:v>1.1999999999999999E-2</c:v>
                </c:pt>
                <c:pt idx="9">
                  <c:v>1.6666666666666666E-2</c:v>
                </c:pt>
                <c:pt idx="10">
                  <c:v>5.0000000000000001E-3</c:v>
                </c:pt>
                <c:pt idx="11">
                  <c:v>1.381818181818182E-2</c:v>
                </c:pt>
                <c:pt idx="12">
                  <c:v>3.833333333333333E-2</c:v>
                </c:pt>
                <c:pt idx="13">
                  <c:v>1.6666666666666666E-2</c:v>
                </c:pt>
                <c:pt idx="14">
                  <c:v>1.3000000000000001E-2</c:v>
                </c:pt>
                <c:pt idx="17">
                  <c:v>0.02</c:v>
                </c:pt>
                <c:pt idx="20">
                  <c:v>0.04</c:v>
                </c:pt>
                <c:pt idx="21">
                  <c:v>0.11333333333333333</c:v>
                </c:pt>
                <c:pt idx="24">
                  <c:v>0.05</c:v>
                </c:pt>
                <c:pt idx="25">
                  <c:v>0.05</c:v>
                </c:pt>
                <c:pt idx="26">
                  <c:v>0.08</c:v>
                </c:pt>
                <c:pt idx="28">
                  <c:v>0.2</c:v>
                </c:pt>
                <c:pt idx="29">
                  <c:v>0.17666666666666667</c:v>
                </c:pt>
                <c:pt idx="30">
                  <c:v>0.15846874999999996</c:v>
                </c:pt>
                <c:pt idx="31">
                  <c:v>0.12999999999999998</c:v>
                </c:pt>
                <c:pt idx="32">
                  <c:v>0.14466666666666667</c:v>
                </c:pt>
                <c:pt idx="34">
                  <c:v>0.14083333333333334</c:v>
                </c:pt>
                <c:pt idx="35">
                  <c:v>0.13571428571428573</c:v>
                </c:pt>
                <c:pt idx="36">
                  <c:v>0.1</c:v>
                </c:pt>
                <c:pt idx="37">
                  <c:v>0.18333333333333335</c:v>
                </c:pt>
                <c:pt idx="38">
                  <c:v>0.14083333333333334</c:v>
                </c:pt>
                <c:pt idx="39">
                  <c:v>0.16499999999999998</c:v>
                </c:pt>
                <c:pt idx="40">
                  <c:v>0.170375</c:v>
                </c:pt>
                <c:pt idx="42">
                  <c:v>0.11166666666666665</c:v>
                </c:pt>
                <c:pt idx="43">
                  <c:v>0.25</c:v>
                </c:pt>
                <c:pt idx="45">
                  <c:v>0.25</c:v>
                </c:pt>
                <c:pt idx="47">
                  <c:v>0.1</c:v>
                </c:pt>
                <c:pt idx="48">
                  <c:v>0.22750000000000004</c:v>
                </c:pt>
                <c:pt idx="54">
                  <c:v>0.4</c:v>
                </c:pt>
                <c:pt idx="63">
                  <c:v>1.86</c:v>
                </c:pt>
                <c:pt idx="68">
                  <c:v>0.75</c:v>
                </c:pt>
                <c:pt idx="69">
                  <c:v>0.6</c:v>
                </c:pt>
                <c:pt idx="74">
                  <c:v>1</c:v>
                </c:pt>
                <c:pt idx="76">
                  <c:v>0.97</c:v>
                </c:pt>
                <c:pt idx="79">
                  <c:v>0.9</c:v>
                </c:pt>
                <c:pt idx="81">
                  <c:v>1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0.25</c:v>
                </c:pt>
                <c:pt idx="86">
                  <c:v>0.33</c:v>
                </c:pt>
                <c:pt idx="87">
                  <c:v>0.3</c:v>
                </c:pt>
                <c:pt idx="88">
                  <c:v>0.25</c:v>
                </c:pt>
                <c:pt idx="89">
                  <c:v>0.35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0.3</c:v>
                </c:pt>
                <c:pt idx="98">
                  <c:v>0.3</c:v>
                </c:pt>
                <c:pt idx="100">
                  <c:v>0.4</c:v>
                </c:pt>
                <c:pt idx="101">
                  <c:v>0.5</c:v>
                </c:pt>
                <c:pt idx="102">
                  <c:v>0.5</c:v>
                </c:pt>
                <c:pt idx="103">
                  <c:v>0.6</c:v>
                </c:pt>
                <c:pt idx="105">
                  <c:v>0.7</c:v>
                </c:pt>
                <c:pt idx="106">
                  <c:v>0.75</c:v>
                </c:pt>
                <c:pt idx="107">
                  <c:v>0.75</c:v>
                </c:pt>
                <c:pt idx="108">
                  <c:v>0.7</c:v>
                </c:pt>
                <c:pt idx="109">
                  <c:v>0.7</c:v>
                </c:pt>
                <c:pt idx="113">
                  <c:v>0.87083330000000003</c:v>
                </c:pt>
                <c:pt idx="114">
                  <c:v>0.80625000000000002</c:v>
                </c:pt>
                <c:pt idx="115">
                  <c:v>0.75416669999999997</c:v>
                </c:pt>
                <c:pt idx="116">
                  <c:v>0.86458330000000005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25A-4FF7-A368-F94E0BB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050432"/>
        <c:axId val="1646060992"/>
      </c:lineChart>
      <c:lineChart>
        <c:grouping val="standard"/>
        <c:varyColors val="0"/>
        <c:ser>
          <c:idx val="1"/>
          <c:order val="1"/>
          <c:tx>
            <c:strRef>
              <c:f>'wages for Moscow in silver AK'!$AC$3</c:f>
              <c:strCache>
                <c:ptCount val="1"/>
                <c:pt idx="0">
                  <c:v>blacksmith (silver)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AK'!$AC$4:$AC$120</c:f>
            </c:numRef>
          </c:val>
          <c:smooth val="0"/>
          <c:extLst>
            <c:ext xmlns:c16="http://schemas.microsoft.com/office/drawing/2014/chart" uri="{C3380CC4-5D6E-409C-BE32-E72D297353CC}">
              <c16:uniqueId val="{00000001-C25A-4FF7-A368-F94E0BB100EE}"/>
            </c:ext>
          </c:extLst>
        </c:ser>
        <c:ser>
          <c:idx val="3"/>
          <c:order val="3"/>
          <c:tx>
            <c:strRef>
              <c:f>'wages for Moscow in silver AK'!$AE$3</c:f>
              <c:strCache>
                <c:ptCount val="1"/>
                <c:pt idx="0">
                  <c:v>bricklayer (in silver)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AK'!$AE$4:$AE$120</c:f>
            </c:numRef>
          </c:val>
          <c:smooth val="0"/>
          <c:extLst>
            <c:ext xmlns:c16="http://schemas.microsoft.com/office/drawing/2014/chart" uri="{C3380CC4-5D6E-409C-BE32-E72D297353CC}">
              <c16:uniqueId val="{00000003-C25A-4FF7-A368-F94E0BB100EE}"/>
            </c:ext>
          </c:extLst>
        </c:ser>
        <c:ser>
          <c:idx val="5"/>
          <c:order val="5"/>
          <c:tx>
            <c:strRef>
              <c:f>'wages for Moscow in silver AK'!$AG$3</c:f>
              <c:strCache>
                <c:ptCount val="1"/>
                <c:pt idx="0">
                  <c:v>brickmaker (silver)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AK'!$AG$4:$AG$120</c:f>
            </c:numRef>
          </c:val>
          <c:smooth val="0"/>
          <c:extLst>
            <c:ext xmlns:c16="http://schemas.microsoft.com/office/drawing/2014/chart" uri="{C3380CC4-5D6E-409C-BE32-E72D297353CC}">
              <c16:uniqueId val="{00000005-C25A-4FF7-A368-F94E0BB100EE}"/>
            </c:ext>
          </c:extLst>
        </c:ser>
        <c:ser>
          <c:idx val="7"/>
          <c:order val="7"/>
          <c:tx>
            <c:strRef>
              <c:f>'wages for Moscow in silver AK'!$AI$3</c:f>
              <c:strCache>
                <c:ptCount val="1"/>
                <c:pt idx="0">
                  <c:v>carpenter (silver)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AK'!$AI$4:$AI$120</c:f>
              <c:numCache>
                <c:formatCode>0.00</c:formatCode>
                <c:ptCount val="117"/>
                <c:pt idx="11">
                  <c:v>3.5985454545454545E-3</c:v>
                </c:pt>
                <c:pt idx="23">
                  <c:v>4.4999999999999998E-2</c:v>
                </c:pt>
                <c:pt idx="25">
                  <c:v>1.2475247524752476E-2</c:v>
                </c:pt>
                <c:pt idx="29">
                  <c:v>5.3465346534653461E-3</c:v>
                </c:pt>
                <c:pt idx="31">
                  <c:v>5.1386138613861383E-2</c:v>
                </c:pt>
                <c:pt idx="32">
                  <c:v>3.2673267326732675E-2</c:v>
                </c:pt>
                <c:pt idx="40">
                  <c:v>7.0731707317073178E-2</c:v>
                </c:pt>
                <c:pt idx="43">
                  <c:v>1.8493150684931504E-2</c:v>
                </c:pt>
                <c:pt idx="45">
                  <c:v>0.11428571428571427</c:v>
                </c:pt>
                <c:pt idx="54">
                  <c:v>6.6442953020134227E-2</c:v>
                </c:pt>
                <c:pt idx="58">
                  <c:v>6.652799999999999E-2</c:v>
                </c:pt>
                <c:pt idx="63">
                  <c:v>0.09</c:v>
                </c:pt>
                <c:pt idx="68">
                  <c:v>8.5050000000000001E-2</c:v>
                </c:pt>
                <c:pt idx="69">
                  <c:v>3.4020000000000002E-2</c:v>
                </c:pt>
                <c:pt idx="74">
                  <c:v>9.0720000000000023E-2</c:v>
                </c:pt>
                <c:pt idx="76">
                  <c:v>9.5759999999999998E-2</c:v>
                </c:pt>
                <c:pt idx="79">
                  <c:v>9.5759999999999998E-2</c:v>
                </c:pt>
                <c:pt idx="81">
                  <c:v>9.0720000000000023E-2</c:v>
                </c:pt>
                <c:pt idx="82">
                  <c:v>8.8200000000000001E-2</c:v>
                </c:pt>
                <c:pt idx="83">
                  <c:v>0.10583999999999999</c:v>
                </c:pt>
                <c:pt idx="84">
                  <c:v>8.8200000000000001E-2</c:v>
                </c:pt>
                <c:pt idx="85">
                  <c:v>7.0559999999999998E-2</c:v>
                </c:pt>
                <c:pt idx="86">
                  <c:v>8.8200000000000001E-2</c:v>
                </c:pt>
                <c:pt idx="87">
                  <c:v>0.11466</c:v>
                </c:pt>
                <c:pt idx="88">
                  <c:v>7.9379999999999992E-2</c:v>
                </c:pt>
                <c:pt idx="89">
                  <c:v>0.11466</c:v>
                </c:pt>
                <c:pt idx="90">
                  <c:v>8.8200000000000001E-2</c:v>
                </c:pt>
                <c:pt idx="91">
                  <c:v>7.9379999999999992E-2</c:v>
                </c:pt>
                <c:pt idx="92">
                  <c:v>6.8400000000000002E-2</c:v>
                </c:pt>
                <c:pt idx="93">
                  <c:v>6.8400000000000002E-2</c:v>
                </c:pt>
                <c:pt idx="94">
                  <c:v>8.5499999999999993E-2</c:v>
                </c:pt>
                <c:pt idx="95">
                  <c:v>7.6949999999999991E-2</c:v>
                </c:pt>
                <c:pt idx="96">
                  <c:v>7.6949999999999991E-2</c:v>
                </c:pt>
                <c:pt idx="97">
                  <c:v>8.5499999999999993E-2</c:v>
                </c:pt>
                <c:pt idx="98">
                  <c:v>0.10259999999999998</c:v>
                </c:pt>
                <c:pt idx="100">
                  <c:v>0.1368</c:v>
                </c:pt>
                <c:pt idx="101">
                  <c:v>0.14535000000000001</c:v>
                </c:pt>
                <c:pt idx="102">
                  <c:v>0.13446</c:v>
                </c:pt>
                <c:pt idx="103">
                  <c:v>0.14939999999999998</c:v>
                </c:pt>
                <c:pt idx="105">
                  <c:v>0.14939999999999998</c:v>
                </c:pt>
                <c:pt idx="106">
                  <c:v>0.14939999999999998</c:v>
                </c:pt>
                <c:pt idx="107">
                  <c:v>0.16434000000000001</c:v>
                </c:pt>
                <c:pt idx="108">
                  <c:v>0.16434000000000001</c:v>
                </c:pt>
                <c:pt idx="109">
                  <c:v>0.16434000000000001</c:v>
                </c:pt>
                <c:pt idx="113">
                  <c:v>0.16847999999999999</c:v>
                </c:pt>
                <c:pt idx="114">
                  <c:v>0.17340000480000001</c:v>
                </c:pt>
                <c:pt idx="115">
                  <c:v>0.16740000000000002</c:v>
                </c:pt>
                <c:pt idx="116">
                  <c:v>0.16559999999999997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5A-4FF7-A368-F94E0BB100EE}"/>
            </c:ext>
          </c:extLst>
        </c:ser>
        <c:ser>
          <c:idx val="9"/>
          <c:order val="9"/>
          <c:tx>
            <c:strRef>
              <c:f>'wages for Moscow in silver AK'!$AK$3</c:f>
              <c:strCache>
                <c:ptCount val="1"/>
                <c:pt idx="0">
                  <c:v>labourer (silver)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'wages for Moscow in silver AK'!$AA$4:$AA$120</c:f>
              <c:numCache>
                <c:formatCode>General</c:formatCode>
                <c:ptCount val="117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  <c:pt idx="64">
                  <c:v>1816</c:v>
                </c:pt>
                <c:pt idx="65">
                  <c:v>1817</c:v>
                </c:pt>
                <c:pt idx="66">
                  <c:v>1818</c:v>
                </c:pt>
                <c:pt idx="67">
                  <c:v>1825</c:v>
                </c:pt>
                <c:pt idx="68">
                  <c:v>1826</c:v>
                </c:pt>
                <c:pt idx="69">
                  <c:v>1827</c:v>
                </c:pt>
                <c:pt idx="70">
                  <c:v>1828</c:v>
                </c:pt>
                <c:pt idx="71">
                  <c:v>1829</c:v>
                </c:pt>
                <c:pt idx="72">
                  <c:v>1830</c:v>
                </c:pt>
                <c:pt idx="73">
                  <c:v>1831</c:v>
                </c:pt>
                <c:pt idx="74">
                  <c:v>1832</c:v>
                </c:pt>
                <c:pt idx="75">
                  <c:v>1833</c:v>
                </c:pt>
                <c:pt idx="76">
                  <c:v>1834</c:v>
                </c:pt>
                <c:pt idx="77">
                  <c:v>1835</c:v>
                </c:pt>
                <c:pt idx="78">
                  <c:v>1836</c:v>
                </c:pt>
                <c:pt idx="79">
                  <c:v>1837</c:v>
                </c:pt>
                <c:pt idx="80">
                  <c:v>1838</c:v>
                </c:pt>
                <c:pt idx="81">
                  <c:v>1839</c:v>
                </c:pt>
                <c:pt idx="82">
                  <c:v>1840</c:v>
                </c:pt>
                <c:pt idx="83">
                  <c:v>1841</c:v>
                </c:pt>
                <c:pt idx="84">
                  <c:v>1842</c:v>
                </c:pt>
                <c:pt idx="85">
                  <c:v>1843</c:v>
                </c:pt>
                <c:pt idx="86">
                  <c:v>1844</c:v>
                </c:pt>
                <c:pt idx="87">
                  <c:v>1845</c:v>
                </c:pt>
                <c:pt idx="88">
                  <c:v>1846</c:v>
                </c:pt>
                <c:pt idx="89">
                  <c:v>1847</c:v>
                </c:pt>
                <c:pt idx="90">
                  <c:v>1848</c:v>
                </c:pt>
                <c:pt idx="91">
                  <c:v>1849</c:v>
                </c:pt>
                <c:pt idx="92">
                  <c:v>1850</c:v>
                </c:pt>
                <c:pt idx="93">
                  <c:v>1851</c:v>
                </c:pt>
                <c:pt idx="94">
                  <c:v>1852</c:v>
                </c:pt>
                <c:pt idx="95">
                  <c:v>1853</c:v>
                </c:pt>
                <c:pt idx="96">
                  <c:v>1854</c:v>
                </c:pt>
                <c:pt idx="97">
                  <c:v>1855</c:v>
                </c:pt>
                <c:pt idx="98">
                  <c:v>1856</c:v>
                </c:pt>
                <c:pt idx="99">
                  <c:v>1857</c:v>
                </c:pt>
                <c:pt idx="100">
                  <c:v>1858</c:v>
                </c:pt>
                <c:pt idx="101">
                  <c:v>1859</c:v>
                </c:pt>
                <c:pt idx="102">
                  <c:v>1860</c:v>
                </c:pt>
                <c:pt idx="103">
                  <c:v>1861</c:v>
                </c:pt>
                <c:pt idx="104">
                  <c:v>1862</c:v>
                </c:pt>
                <c:pt idx="105">
                  <c:v>1863</c:v>
                </c:pt>
                <c:pt idx="106">
                  <c:v>1864</c:v>
                </c:pt>
                <c:pt idx="107">
                  <c:v>1865</c:v>
                </c:pt>
                <c:pt idx="108">
                  <c:v>1866</c:v>
                </c:pt>
                <c:pt idx="109">
                  <c:v>1867</c:v>
                </c:pt>
                <c:pt idx="110">
                  <c:v>1868</c:v>
                </c:pt>
                <c:pt idx="111">
                  <c:v>1869</c:v>
                </c:pt>
                <c:pt idx="112">
                  <c:v>1870</c:v>
                </c:pt>
                <c:pt idx="113">
                  <c:v>1871</c:v>
                </c:pt>
                <c:pt idx="114">
                  <c:v>1872</c:v>
                </c:pt>
                <c:pt idx="115">
                  <c:v>1873</c:v>
                </c:pt>
                <c:pt idx="116">
                  <c:v>1874</c:v>
                </c:pt>
              </c:numCache>
            </c:numRef>
          </c:cat>
          <c:val>
            <c:numRef>
              <c:f>'wages for Moscow in silver AK'!$AK$4:$AK$120</c:f>
              <c:numCache>
                <c:formatCode>0.00</c:formatCode>
                <c:ptCount val="117"/>
                <c:pt idx="0">
                  <c:v>1.4832E-2</c:v>
                </c:pt>
                <c:pt idx="3">
                  <c:v>6.1475000000000002E-3</c:v>
                </c:pt>
                <c:pt idx="4">
                  <c:v>1.1065500000000001E-2</c:v>
                </c:pt>
                <c:pt idx="6">
                  <c:v>3.9344000000000002E-3</c:v>
                </c:pt>
                <c:pt idx="7">
                  <c:v>1.9792000000000001E-2</c:v>
                </c:pt>
                <c:pt idx="8">
                  <c:v>2.9687999999999997E-3</c:v>
                </c:pt>
                <c:pt idx="9">
                  <c:v>4.123333333333333E-3</c:v>
                </c:pt>
                <c:pt idx="10">
                  <c:v>1.237E-3</c:v>
                </c:pt>
                <c:pt idx="11">
                  <c:v>3.4186181818181825E-3</c:v>
                </c:pt>
                <c:pt idx="12">
                  <c:v>9.4836666666666663E-3</c:v>
                </c:pt>
                <c:pt idx="13">
                  <c:v>4.123333333333333E-3</c:v>
                </c:pt>
                <c:pt idx="14">
                  <c:v>3.2162000000000002E-3</c:v>
                </c:pt>
                <c:pt idx="17">
                  <c:v>4.9480000000000001E-3</c:v>
                </c:pt>
                <c:pt idx="20">
                  <c:v>0.01</c:v>
                </c:pt>
                <c:pt idx="21">
                  <c:v>2.0399999999999998E-2</c:v>
                </c:pt>
                <c:pt idx="24">
                  <c:v>8.9999999999999993E-3</c:v>
                </c:pt>
                <c:pt idx="25">
                  <c:v>8.9108910891089101E-3</c:v>
                </c:pt>
                <c:pt idx="26">
                  <c:v>1.4117647058823528E-2</c:v>
                </c:pt>
                <c:pt idx="28">
                  <c:v>3.5643564356435641E-2</c:v>
                </c:pt>
                <c:pt idx="29">
                  <c:v>3.1485148514851485E-2</c:v>
                </c:pt>
                <c:pt idx="30">
                  <c:v>2.8241955445544545E-2</c:v>
                </c:pt>
                <c:pt idx="31">
                  <c:v>2.3168316831683165E-2</c:v>
                </c:pt>
                <c:pt idx="32">
                  <c:v>2.5782178217821781E-2</c:v>
                </c:pt>
                <c:pt idx="34">
                  <c:v>2.4852941176470588E-2</c:v>
                </c:pt>
                <c:pt idx="35">
                  <c:v>2.3949579831932771E-2</c:v>
                </c:pt>
                <c:pt idx="36">
                  <c:v>1.7475728155339806E-2</c:v>
                </c:pt>
                <c:pt idx="37">
                  <c:v>3.0555555555555555E-2</c:v>
                </c:pt>
                <c:pt idx="38">
                  <c:v>2.3256880733944951E-2</c:v>
                </c:pt>
                <c:pt idx="39">
                  <c:v>2.5826086956521738E-2</c:v>
                </c:pt>
                <c:pt idx="40">
                  <c:v>2.4932926829268291E-2</c:v>
                </c:pt>
                <c:pt idx="42">
                  <c:v>1.4255319148936168E-2</c:v>
                </c:pt>
                <c:pt idx="43">
                  <c:v>3.0821917808219176E-2</c:v>
                </c:pt>
                <c:pt idx="45">
                  <c:v>3.5714285714285712E-2</c:v>
                </c:pt>
                <c:pt idx="47">
                  <c:v>1.1920529801324504E-2</c:v>
                </c:pt>
                <c:pt idx="48">
                  <c:v>2.7119205298013253E-2</c:v>
                </c:pt>
                <c:pt idx="54">
                  <c:v>4.832214765100671E-2</c:v>
                </c:pt>
                <c:pt idx="63">
                  <c:v>6.6960000000000006E-2</c:v>
                </c:pt>
                <c:pt idx="68">
                  <c:v>3.6450000000000003E-2</c:v>
                </c:pt>
                <c:pt idx="69">
                  <c:v>2.9159999999999998E-2</c:v>
                </c:pt>
                <c:pt idx="74">
                  <c:v>5.04E-2</c:v>
                </c:pt>
                <c:pt idx="76">
                  <c:v>4.8888000000000001E-2</c:v>
                </c:pt>
                <c:pt idx="79">
                  <c:v>4.5360000000000011E-2</c:v>
                </c:pt>
                <c:pt idx="81">
                  <c:v>5.04E-2</c:v>
                </c:pt>
                <c:pt idx="82">
                  <c:v>5.2919999999999995E-2</c:v>
                </c:pt>
                <c:pt idx="83">
                  <c:v>5.2919999999999995E-2</c:v>
                </c:pt>
                <c:pt idx="84">
                  <c:v>5.2919999999999995E-2</c:v>
                </c:pt>
                <c:pt idx="85">
                  <c:v>4.41E-2</c:v>
                </c:pt>
                <c:pt idx="86">
                  <c:v>5.8212E-2</c:v>
                </c:pt>
                <c:pt idx="87">
                  <c:v>5.2919999999999995E-2</c:v>
                </c:pt>
                <c:pt idx="88">
                  <c:v>4.41E-2</c:v>
                </c:pt>
                <c:pt idx="89">
                  <c:v>6.1739999999999989E-2</c:v>
                </c:pt>
                <c:pt idx="90">
                  <c:v>4.41E-2</c:v>
                </c:pt>
                <c:pt idx="91">
                  <c:v>4.41E-2</c:v>
                </c:pt>
                <c:pt idx="92">
                  <c:v>4.2749999999999996E-2</c:v>
                </c:pt>
                <c:pt idx="93">
                  <c:v>4.2749999999999996E-2</c:v>
                </c:pt>
                <c:pt idx="94">
                  <c:v>4.2749999999999996E-2</c:v>
                </c:pt>
                <c:pt idx="95">
                  <c:v>4.2749999999999996E-2</c:v>
                </c:pt>
                <c:pt idx="96">
                  <c:v>4.2749999999999996E-2</c:v>
                </c:pt>
                <c:pt idx="97">
                  <c:v>5.1299999999999991E-2</c:v>
                </c:pt>
                <c:pt idx="98">
                  <c:v>5.1299999999999991E-2</c:v>
                </c:pt>
                <c:pt idx="100">
                  <c:v>6.8400000000000002E-2</c:v>
                </c:pt>
                <c:pt idx="101">
                  <c:v>8.5499999999999993E-2</c:v>
                </c:pt>
                <c:pt idx="102">
                  <c:v>7.4699999999999989E-2</c:v>
                </c:pt>
                <c:pt idx="103">
                  <c:v>8.9639999999999984E-2</c:v>
                </c:pt>
                <c:pt idx="105">
                  <c:v>0.10457999999999999</c:v>
                </c:pt>
                <c:pt idx="106">
                  <c:v>0.11204999999999998</c:v>
                </c:pt>
                <c:pt idx="107">
                  <c:v>0.11204999999999998</c:v>
                </c:pt>
                <c:pt idx="108">
                  <c:v>0.10457999999999999</c:v>
                </c:pt>
                <c:pt idx="109">
                  <c:v>0.10457999999999999</c:v>
                </c:pt>
                <c:pt idx="113">
                  <c:v>0.1253999952</c:v>
                </c:pt>
                <c:pt idx="114">
                  <c:v>0.11609999999999999</c:v>
                </c:pt>
                <c:pt idx="115">
                  <c:v>0.1086000048</c:v>
                </c:pt>
                <c:pt idx="116">
                  <c:v>0.12449999520000002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5A-4FF7-A368-F94E0BB1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501264"/>
        <c:axId val="2074500784"/>
      </c:lineChart>
      <c:catAx>
        <c:axId val="164605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60992"/>
        <c:crosses val="autoZero"/>
        <c:auto val="1"/>
        <c:lblAlgn val="ctr"/>
        <c:lblOffset val="100"/>
        <c:noMultiLvlLbl val="0"/>
      </c:catAx>
      <c:valAx>
        <c:axId val="1646060992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050432"/>
        <c:crosses val="autoZero"/>
        <c:crossBetween val="between"/>
      </c:valAx>
      <c:valAx>
        <c:axId val="2074500784"/>
        <c:scaling>
          <c:orientation val="minMax"/>
          <c:max val="2.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501264"/>
        <c:crosses val="max"/>
        <c:crossBetween val="between"/>
      </c:valAx>
      <c:catAx>
        <c:axId val="207450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450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727034120735"/>
          <c:y val="2.5428331875182269E-2"/>
          <c:w val="0.82496062992125985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'appendix 4 rus eng'!$C$89</c:f>
              <c:strCache>
                <c:ptCount val="1"/>
                <c:pt idx="0">
                  <c:v>число людей ее получающих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'appendix 4 rus eng'!$B$90:$B$111</c:f>
              <c:numCache>
                <c:formatCode>General</c:formatCode>
                <c:ptCount val="2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22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34</c:v>
                </c:pt>
                <c:pt idx="16">
                  <c:v>44</c:v>
                </c:pt>
                <c:pt idx="17">
                  <c:v>50</c:v>
                </c:pt>
                <c:pt idx="18">
                  <c:v>55</c:v>
                </c:pt>
                <c:pt idx="20">
                  <c:v>80</c:v>
                </c:pt>
                <c:pt idx="21">
                  <c:v>100</c:v>
                </c:pt>
              </c:numCache>
            </c:numRef>
          </c:xVal>
          <c:yVal>
            <c:numRef>
              <c:f>'appendix 4 rus eng'!$C$90:$C$111</c:f>
              <c:numCache>
                <c:formatCode>General</c:formatCode>
                <c:ptCount val="22"/>
                <c:pt idx="0">
                  <c:v>7</c:v>
                </c:pt>
                <c:pt idx="1">
                  <c:v>11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7B-42D5-9C10-B30D5BCF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40512"/>
        <c:axId val="216242816"/>
      </c:scatterChart>
      <c:valAx>
        <c:axId val="21624051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годовой доход домохозяйства дворового в рублях 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42816"/>
        <c:crosses val="autoZero"/>
        <c:crossBetween val="midCat"/>
      </c:valAx>
      <c:valAx>
        <c:axId val="2162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людей его имеющий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24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'subsistence for Moscow'!$Y$1</c:f>
              <c:strCache>
                <c:ptCount val="1"/>
                <c:pt idx="0">
                  <c:v>процент расходов на продукты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'subsistence for Moscow'!$X$15:$X$28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'subsistence for Moscow'!$Y$15:$Y$28</c:f>
              <c:numCache>
                <c:formatCode>General</c:formatCode>
                <c:ptCount val="14"/>
                <c:pt idx="0">
                  <c:v>46.945150373187658</c:v>
                </c:pt>
                <c:pt idx="1">
                  <c:v>38.039030802321832</c:v>
                </c:pt>
                <c:pt idx="2">
                  <c:v>50.59168123981528</c:v>
                </c:pt>
                <c:pt idx="3">
                  <c:v>56.343409652852522</c:v>
                </c:pt>
                <c:pt idx="4">
                  <c:v>63.879540352942655</c:v>
                </c:pt>
                <c:pt idx="5">
                  <c:v>65.40276212225443</c:v>
                </c:pt>
                <c:pt idx="6">
                  <c:v>65.511565302048538</c:v>
                </c:pt>
                <c:pt idx="7">
                  <c:v>63.308304788246701</c:v>
                </c:pt>
                <c:pt idx="8">
                  <c:v>53.434434093357638</c:v>
                </c:pt>
                <c:pt idx="9">
                  <c:v>55.842197730160905</c:v>
                </c:pt>
                <c:pt idx="10">
                  <c:v>54.468145593830968</c:v>
                </c:pt>
                <c:pt idx="11">
                  <c:v>55.089386383442154</c:v>
                </c:pt>
                <c:pt idx="12">
                  <c:v>52.227002203056067</c:v>
                </c:pt>
                <c:pt idx="13">
                  <c:v>47.632512684529793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C-4FB8-A4C9-CC9801E3784B}"/>
            </c:ext>
          </c:extLst>
        </c:ser>
        <c:ser>
          <c:idx val="1"/>
          <c:order val="1"/>
          <c:tx>
            <c:strRef>
              <c:f>'subsistence for Moscow'!$Z$1</c:f>
              <c:strCache>
                <c:ptCount val="1"/>
                <c:pt idx="0">
                  <c:v>процент расходов на на промышленные товары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'subsistence for Moscow'!$X$15:$X$28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'subsistence for Moscow'!$Z$15:$Z$28</c:f>
              <c:numCache>
                <c:formatCode>General</c:formatCode>
                <c:ptCount val="14"/>
                <c:pt idx="0">
                  <c:v>30.387605336429427</c:v>
                </c:pt>
                <c:pt idx="1">
                  <c:v>40.127794915366962</c:v>
                </c:pt>
                <c:pt idx="2">
                  <c:v>39.027733331431627</c:v>
                </c:pt>
                <c:pt idx="3">
                  <c:v>26.21032530829163</c:v>
                </c:pt>
                <c:pt idx="4">
                  <c:v>25.359165169535743</c:v>
                </c:pt>
                <c:pt idx="5">
                  <c:v>22.189732600476692</c:v>
                </c:pt>
                <c:pt idx="6">
                  <c:v>22.776011311121895</c:v>
                </c:pt>
                <c:pt idx="7">
                  <c:v>26.753660994597464</c:v>
                </c:pt>
                <c:pt idx="8">
                  <c:v>36.276982658705883</c:v>
                </c:pt>
                <c:pt idx="9">
                  <c:v>32.904164093693176</c:v>
                </c:pt>
                <c:pt idx="10">
                  <c:v>34.809528247686089</c:v>
                </c:pt>
                <c:pt idx="11">
                  <c:v>31.664852474979259</c:v>
                </c:pt>
                <c:pt idx="12">
                  <c:v>35.726007758770905</c:v>
                </c:pt>
                <c:pt idx="13">
                  <c:v>41.264797655192588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C-4FB8-A4C9-CC9801E3784B}"/>
            </c:ext>
          </c:extLst>
        </c:ser>
        <c:ser>
          <c:idx val="2"/>
          <c:order val="2"/>
          <c:tx>
            <c:strRef>
              <c:f>'subsistence for Moscow'!$AA$1</c:f>
              <c:strCache>
                <c:ptCount val="1"/>
                <c:pt idx="0">
                  <c:v>процент расходов на отопление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'subsistence for Moscow'!$X$15:$X$28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'subsistence for Moscow'!$AA$15:$AA$28</c:f>
              <c:numCache>
                <c:formatCode>General</c:formatCode>
                <c:ptCount val="14"/>
                <c:pt idx="0">
                  <c:v>17.905339528478152</c:v>
                </c:pt>
                <c:pt idx="1">
                  <c:v>17.071269520406425</c:v>
                </c:pt>
                <c:pt idx="2">
                  <c:v>5.6186806668483369</c:v>
                </c:pt>
                <c:pt idx="3">
                  <c:v>12.684360276951098</c:v>
                </c:pt>
                <c:pt idx="4">
                  <c:v>5.999389715616843</c:v>
                </c:pt>
                <c:pt idx="5">
                  <c:v>7.6456005153641007</c:v>
                </c:pt>
                <c:pt idx="6">
                  <c:v>6.9505186249248085</c:v>
                </c:pt>
                <c:pt idx="7">
                  <c:v>5.1761294552510932</c:v>
                </c:pt>
                <c:pt idx="8">
                  <c:v>5.5266784860317051</c:v>
                </c:pt>
                <c:pt idx="9">
                  <c:v>6.4917334142411489</c:v>
                </c:pt>
                <c:pt idx="10">
                  <c:v>5.9604213965781758</c:v>
                </c:pt>
                <c:pt idx="11">
                  <c:v>8.4838563796738349</c:v>
                </c:pt>
                <c:pt idx="12">
                  <c:v>7.285085276268279</c:v>
                </c:pt>
                <c:pt idx="13">
                  <c:v>6.340784898372851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C-4FB8-A4C9-CC9801E37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826240"/>
        <c:axId val="216827776"/>
      </c:barChart>
      <c:catAx>
        <c:axId val="2168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827776"/>
        <c:crosses val="autoZero"/>
        <c:auto val="1"/>
        <c:lblAlgn val="ctr"/>
        <c:lblOffset val="100"/>
        <c:noMultiLvlLbl val="0"/>
      </c:catAx>
      <c:valAx>
        <c:axId val="2168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82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1'!$Z$2</c:f>
              <c:strCache>
                <c:ptCount val="1"/>
                <c:pt idx="0">
                  <c:v>the cost of subsistence basket (rubles)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1'!$Y$3:$Y$89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1'!$Z$3:$Z$89</c:f>
              <c:numCache>
                <c:formatCode>General</c:formatCode>
                <c:ptCount val="87"/>
                <c:pt idx="2">
                  <c:v>4.7741878905000004</c:v>
                </c:pt>
                <c:pt idx="6">
                  <c:v>4.1209874475000001</c:v>
                </c:pt>
                <c:pt idx="16">
                  <c:v>4.0068489300000003</c:v>
                </c:pt>
                <c:pt idx="33">
                  <c:v>4.2015216949999994</c:v>
                </c:pt>
                <c:pt idx="34">
                  <c:v>4.3245307087499993</c:v>
                </c:pt>
                <c:pt idx="35">
                  <c:v>4.249504763</c:v>
                </c:pt>
                <c:pt idx="38">
                  <c:v>8.1787793240999989</c:v>
                </c:pt>
                <c:pt idx="48">
                  <c:v>6.1177137105000003</c:v>
                </c:pt>
                <c:pt idx="57">
                  <c:v>10.601767856362308</c:v>
                </c:pt>
                <c:pt idx="58">
                  <c:v>18.276205560574976</c:v>
                </c:pt>
                <c:pt idx="59">
                  <c:v>12.572337336931639</c:v>
                </c:pt>
                <c:pt idx="60">
                  <c:v>11.000405849931642</c:v>
                </c:pt>
                <c:pt idx="63">
                  <c:v>9.8821683624316421</c:v>
                </c:pt>
                <c:pt idx="64">
                  <c:v>14.400411513833333</c:v>
                </c:pt>
                <c:pt idx="65">
                  <c:v>13.15573865190577</c:v>
                </c:pt>
                <c:pt idx="66">
                  <c:v>15.92018632575</c:v>
                </c:pt>
                <c:pt idx="67">
                  <c:v>17.666848116218748</c:v>
                </c:pt>
                <c:pt idx="68">
                  <c:v>15.212691773343751</c:v>
                </c:pt>
                <c:pt idx="69">
                  <c:v>13.837095099000003</c:v>
                </c:pt>
                <c:pt idx="70">
                  <c:v>14.1333016654375</c:v>
                </c:pt>
                <c:pt idx="71">
                  <c:v>17.359921714799999</c:v>
                </c:pt>
                <c:pt idx="72">
                  <c:v>18.106124678181644</c:v>
                </c:pt>
                <c:pt idx="73">
                  <c:v>15.313636863000001</c:v>
                </c:pt>
                <c:pt idx="76">
                  <c:v>15.067322237916665</c:v>
                </c:pt>
                <c:pt idx="77">
                  <c:v>17.340630103125001</c:v>
                </c:pt>
                <c:pt idx="78">
                  <c:v>18.1805791768125</c:v>
                </c:pt>
                <c:pt idx="80">
                  <c:v>24.760617378000006</c:v>
                </c:pt>
                <c:pt idx="81">
                  <c:v>29.997571159500001</c:v>
                </c:pt>
                <c:pt idx="86">
                  <c:v>39.493489937999996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29-4C44-B984-2F393F33BE0A}"/>
            </c:ext>
          </c:extLst>
        </c:ser>
        <c:ser>
          <c:idx val="1"/>
          <c:order val="1"/>
          <c:tx>
            <c:strRef>
              <c:f>'figure 1'!$AA$2</c:f>
              <c:strCache>
                <c:ptCount val="1"/>
                <c:pt idx="0">
                  <c:v>the cost of subsistence basket (silver rubles)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1'!$Y$3:$Y$89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1'!$AA$3:$AA$89</c:f>
              <c:numCache>
                <c:formatCode>General</c:formatCode>
                <c:ptCount val="87"/>
                <c:pt idx="2">
                  <c:v>0.98300528665395004</c:v>
                </c:pt>
                <c:pt idx="6">
                  <c:v>0.84851131544025005</c:v>
                </c:pt>
                <c:pt idx="16">
                  <c:v>0.83102046808200003</c:v>
                </c:pt>
                <c:pt idx="33">
                  <c:v>0.87139559954299983</c:v>
                </c:pt>
                <c:pt idx="34">
                  <c:v>0.89690766899474983</c:v>
                </c:pt>
                <c:pt idx="35">
                  <c:v>0.76491085733999997</c:v>
                </c:pt>
                <c:pt idx="38">
                  <c:v>1.4721802783379996</c:v>
                </c:pt>
                <c:pt idx="48">
                  <c:v>1.0902856117722772</c:v>
                </c:pt>
                <c:pt idx="57">
                  <c:v>1.8709002099462895</c:v>
                </c:pt>
                <c:pt idx="58">
                  <c:v>3.1939000008771803</c:v>
                </c:pt>
                <c:pt idx="59">
                  <c:v>2.0953895561552729</c:v>
                </c:pt>
                <c:pt idx="60">
                  <c:v>1.8165807825575189</c:v>
                </c:pt>
                <c:pt idx="63">
                  <c:v>1.4117383374902346</c:v>
                </c:pt>
                <c:pt idx="64">
                  <c:v>1.920054868511111</c:v>
                </c:pt>
                <c:pt idx="65">
                  <c:v>1.6794559981156303</c:v>
                </c:pt>
                <c:pt idx="66">
                  <c:v>1.9627626976952053</c:v>
                </c:pt>
                <c:pt idx="67">
                  <c:v>2.2394596203657566</c:v>
                </c:pt>
                <c:pt idx="68">
                  <c:v>2.1732416819062501</c:v>
                </c:pt>
                <c:pt idx="69">
                  <c:v>1.8180124947591247</c:v>
                </c:pt>
                <c:pt idx="70">
                  <c:v>1.6847644369395696</c:v>
                </c:pt>
                <c:pt idx="71">
                  <c:v>2.0423437311529411</c:v>
                </c:pt>
                <c:pt idx="72">
                  <c:v>2.1583459881276132</c:v>
                </c:pt>
                <c:pt idx="73">
                  <c:v>1.9974308951739135</c:v>
                </c:pt>
                <c:pt idx="76">
                  <c:v>2.0862446175576919</c:v>
                </c:pt>
                <c:pt idx="77">
                  <c:v>2.3293383720615672</c:v>
                </c:pt>
                <c:pt idx="78">
                  <c:v>2.1963115784068794</c:v>
                </c:pt>
                <c:pt idx="80">
                  <c:v>1.998614855623319</c:v>
                </c:pt>
                <c:pt idx="81">
                  <c:v>1.7818557268743</c:v>
                </c:pt>
                <c:pt idx="86">
                  <c:v>1.4217656377679999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29-4C44-B984-2F393F33B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529648"/>
        <c:axId val="1084527248"/>
      </c:scatterChart>
      <c:valAx>
        <c:axId val="1084529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527248"/>
        <c:crosses val="autoZero"/>
        <c:crossBetween val="midCat"/>
      </c:valAx>
      <c:valAx>
        <c:axId val="1084527248"/>
        <c:scaling>
          <c:logBase val="2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529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'subsistence for Moscow'!$B$1</c:f>
              <c:strCache>
                <c:ptCount val="1"/>
                <c:pt idx="0">
                  <c:v>rye (chetvert)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Moscow'!$B$15:$B$78</c:f>
              <c:numCache>
                <c:formatCode>0.00;[Red]0.00</c:formatCode>
                <c:ptCount val="64"/>
                <c:pt idx="2">
                  <c:v>0.8</c:v>
                </c:pt>
                <c:pt idx="3">
                  <c:v>0.8</c:v>
                </c:pt>
                <c:pt idx="5">
                  <c:v>1.3</c:v>
                </c:pt>
                <c:pt idx="6">
                  <c:v>1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1.7</c:v>
                </c:pt>
                <c:pt idx="11">
                  <c:v>1.2</c:v>
                </c:pt>
                <c:pt idx="12">
                  <c:v>1.1499999999999999</c:v>
                </c:pt>
                <c:pt idx="13">
                  <c:v>1.1000000000000001</c:v>
                </c:pt>
                <c:pt idx="14">
                  <c:v>0.9</c:v>
                </c:pt>
                <c:pt idx="15">
                  <c:v>0.75</c:v>
                </c:pt>
                <c:pt idx="16">
                  <c:v>0.9</c:v>
                </c:pt>
                <c:pt idx="17">
                  <c:v>0.85</c:v>
                </c:pt>
                <c:pt idx="18">
                  <c:v>0.75666666666666671</c:v>
                </c:pt>
                <c:pt idx="19">
                  <c:v>0.74333333333333329</c:v>
                </c:pt>
                <c:pt idx="20">
                  <c:v>1.0266666666666666</c:v>
                </c:pt>
                <c:pt idx="21">
                  <c:v>1.0449999999999999</c:v>
                </c:pt>
                <c:pt idx="22">
                  <c:v>1.0266666666666666</c:v>
                </c:pt>
                <c:pt idx="23">
                  <c:v>1.2233333333333334</c:v>
                </c:pt>
                <c:pt idx="24">
                  <c:v>2.2799999999999998</c:v>
                </c:pt>
                <c:pt idx="25">
                  <c:v>2.5939999999999999</c:v>
                </c:pt>
                <c:pt idx="26">
                  <c:v>2.2950000000000004</c:v>
                </c:pt>
                <c:pt idx="27">
                  <c:v>2.1</c:v>
                </c:pt>
                <c:pt idx="28">
                  <c:v>1.54</c:v>
                </c:pt>
                <c:pt idx="29">
                  <c:v>1.3433333333333335</c:v>
                </c:pt>
                <c:pt idx="30">
                  <c:v>1.7342857142857142</c:v>
                </c:pt>
                <c:pt idx="31">
                  <c:v>1.7914285714285714</c:v>
                </c:pt>
                <c:pt idx="32">
                  <c:v>2.0300000000000002</c:v>
                </c:pt>
                <c:pt idx="33">
                  <c:v>2.6475</c:v>
                </c:pt>
                <c:pt idx="34">
                  <c:v>2.1825000000000001</c:v>
                </c:pt>
                <c:pt idx="35">
                  <c:v>1.66</c:v>
                </c:pt>
                <c:pt idx="36">
                  <c:v>1.4249999999999998</c:v>
                </c:pt>
                <c:pt idx="37">
                  <c:v>1.855</c:v>
                </c:pt>
                <c:pt idx="38">
                  <c:v>1.98</c:v>
                </c:pt>
                <c:pt idx="39" formatCode="#,##0.00;[Red]#,##0.00">
                  <c:v>1.5175000000000001</c:v>
                </c:pt>
                <c:pt idx="40">
                  <c:v>3.125</c:v>
                </c:pt>
                <c:pt idx="41">
                  <c:v>3.125</c:v>
                </c:pt>
                <c:pt idx="42">
                  <c:v>3.125</c:v>
                </c:pt>
                <c:pt idx="43">
                  <c:v>2.84</c:v>
                </c:pt>
                <c:pt idx="44">
                  <c:v>3.105</c:v>
                </c:pt>
                <c:pt idx="45">
                  <c:v>5.1639999999999997</c:v>
                </c:pt>
                <c:pt idx="46">
                  <c:v>3.5</c:v>
                </c:pt>
                <c:pt idx="47">
                  <c:v>3.5</c:v>
                </c:pt>
                <c:pt idx="48">
                  <c:v>3.25</c:v>
                </c:pt>
                <c:pt idx="49">
                  <c:v>2.6599999999999997</c:v>
                </c:pt>
                <c:pt idx="50">
                  <c:v>3.3</c:v>
                </c:pt>
                <c:pt idx="51" formatCode="#,##0.00;[Red]#,##0.00">
                  <c:v>4.2350000000000003</c:v>
                </c:pt>
                <c:pt idx="52" formatCode="#,##0.00;[Red]#,##0.00">
                  <c:v>4</c:v>
                </c:pt>
                <c:pt idx="53" formatCode="#,##0.00;[Red]#,##0.00">
                  <c:v>4.3600000000000003</c:v>
                </c:pt>
                <c:pt idx="54" formatCode="#,##0.00;[Red]#,##0.00">
                  <c:v>5.5228571428571422</c:v>
                </c:pt>
                <c:pt idx="55" formatCode="#,##0.00;[Red]#,##0.00">
                  <c:v>4.71</c:v>
                </c:pt>
                <c:pt idx="56" formatCode="#,##0.00;[Red]#,##0.00">
                  <c:v>4.0457142857142872</c:v>
                </c:pt>
                <c:pt idx="57" formatCode="#,##0.00;[Red]#,##0.00">
                  <c:v>3.99125</c:v>
                </c:pt>
                <c:pt idx="58" formatCode="#,##0.00;[Red]#,##0.00">
                  <c:v>4.5419999999999998</c:v>
                </c:pt>
                <c:pt idx="59" formatCode="#,##0.00;[Red]#,##0.00">
                  <c:v>5.1766666666666667</c:v>
                </c:pt>
                <c:pt idx="60" formatCode="#,##0.00;[Red]#,##0.00">
                  <c:v>4.2</c:v>
                </c:pt>
                <c:pt idx="61">
                  <c:v>5.95</c:v>
                </c:pt>
                <c:pt idx="62" formatCode="#,##0.00;[Red]#,##0.00">
                  <c:v>4</c:v>
                </c:pt>
                <c:pt idx="63" formatCode="#,##0.00;[Red]#,##0.00">
                  <c:v>3.4949999999999997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C-4E54-8F9E-6B68A3F790B2}"/>
            </c:ext>
          </c:extLst>
        </c:ser>
        <c:ser>
          <c:idx val="1"/>
          <c:order val="1"/>
          <c:tx>
            <c:strRef>
              <c:f>'subsistence for Moscow'!$C$1</c:f>
              <c:strCache>
                <c:ptCount val="1"/>
                <c:pt idx="0">
                  <c:v>beef (pound)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Moscow'!$C$15:$C$78</c:f>
              <c:numCache>
                <c:formatCode>#,##0.00;[Red]#,##0.00</c:formatCode>
                <c:ptCount val="64"/>
                <c:pt idx="3">
                  <c:v>1.325E-2</c:v>
                </c:pt>
                <c:pt idx="20">
                  <c:v>0.01</c:v>
                </c:pt>
                <c:pt idx="21">
                  <c:v>1.2500000000000001E-2</c:v>
                </c:pt>
                <c:pt idx="22">
                  <c:v>1.2500000000000001E-2</c:v>
                </c:pt>
                <c:pt idx="25">
                  <c:v>0.01</c:v>
                </c:pt>
                <c:pt idx="35">
                  <c:v>2.5000000000000001E-2</c:v>
                </c:pt>
                <c:pt idx="38">
                  <c:v>4.4999999999999998E-2</c:v>
                </c:pt>
                <c:pt idx="40">
                  <c:v>5.8125000000000003E-2</c:v>
                </c:pt>
                <c:pt idx="41">
                  <c:v>1.7500000000000002E-2</c:v>
                </c:pt>
                <c:pt idx="42">
                  <c:v>1.7500000000000002E-2</c:v>
                </c:pt>
                <c:pt idx="43">
                  <c:v>3.9821428571428563E-2</c:v>
                </c:pt>
                <c:pt idx="44">
                  <c:v>1.5663003663003664E-2</c:v>
                </c:pt>
                <c:pt idx="45">
                  <c:v>1.41875E-2</c:v>
                </c:pt>
                <c:pt idx="46">
                  <c:v>2.375E-2</c:v>
                </c:pt>
                <c:pt idx="47">
                  <c:v>2.6249999999999999E-2</c:v>
                </c:pt>
                <c:pt idx="48">
                  <c:v>4.8125000000000001E-2</c:v>
                </c:pt>
                <c:pt idx="49">
                  <c:v>4.8125000000000001E-2</c:v>
                </c:pt>
                <c:pt idx="50">
                  <c:v>4.8125000000000001E-2</c:v>
                </c:pt>
                <c:pt idx="51">
                  <c:v>5.7812500000000003E-2</c:v>
                </c:pt>
                <c:pt idx="52">
                  <c:v>4.2163461538461539E-2</c:v>
                </c:pt>
                <c:pt idx="53">
                  <c:v>4.2098214285714287E-2</c:v>
                </c:pt>
                <c:pt idx="54">
                  <c:v>4.4492187499999995E-2</c:v>
                </c:pt>
                <c:pt idx="55">
                  <c:v>4.2291666666666665E-2</c:v>
                </c:pt>
                <c:pt idx="56">
                  <c:v>6.1874999999999999E-2</c:v>
                </c:pt>
                <c:pt idx="57">
                  <c:v>4.9750000000000003E-2</c:v>
                </c:pt>
                <c:pt idx="58">
                  <c:v>5.2750000000000005E-2</c:v>
                </c:pt>
                <c:pt idx="59">
                  <c:v>0.04</c:v>
                </c:pt>
                <c:pt idx="60">
                  <c:v>3.7499999999999999E-2</c:v>
                </c:pt>
                <c:pt idx="61">
                  <c:v>0.04</c:v>
                </c:pt>
                <c:pt idx="63">
                  <c:v>4.2000000000000003E-2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C-4E54-8F9E-6B68A3F790B2}"/>
            </c:ext>
          </c:extLst>
        </c:ser>
        <c:ser>
          <c:idx val="2"/>
          <c:order val="2"/>
          <c:tx>
            <c:strRef>
              <c:f>'subsistence for Moscow'!$D$1</c:f>
              <c:strCache>
                <c:ptCount val="1"/>
                <c:pt idx="0">
                  <c:v>butter (pound)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Moscow'!$D$16:$D$78</c:f>
              <c:numCache>
                <c:formatCode>0.000;[Red]0.000</c:formatCode>
                <c:ptCount val="63"/>
                <c:pt idx="0">
                  <c:v>9.5833333333333326E-2</c:v>
                </c:pt>
                <c:pt idx="2">
                  <c:v>3.6666666666666667E-2</c:v>
                </c:pt>
                <c:pt idx="19">
                  <c:v>0.05</c:v>
                </c:pt>
                <c:pt idx="20">
                  <c:v>5.1250000000000004E-2</c:v>
                </c:pt>
                <c:pt idx="21">
                  <c:v>0.05</c:v>
                </c:pt>
                <c:pt idx="24">
                  <c:v>0.06</c:v>
                </c:pt>
                <c:pt idx="26">
                  <c:v>0.05</c:v>
                </c:pt>
                <c:pt idx="27">
                  <c:v>0.05</c:v>
                </c:pt>
                <c:pt idx="29">
                  <c:v>2.9000000000000001E-2</c:v>
                </c:pt>
                <c:pt idx="32">
                  <c:v>5.5000000000000007E-2</c:v>
                </c:pt>
                <c:pt idx="34">
                  <c:v>0.06</c:v>
                </c:pt>
                <c:pt idx="35">
                  <c:v>0.02</c:v>
                </c:pt>
                <c:pt idx="39">
                  <c:v>0.11899999999999999</c:v>
                </c:pt>
                <c:pt idx="40">
                  <c:v>0.11899999999999999</c:v>
                </c:pt>
                <c:pt idx="41">
                  <c:v>0.11899999999999999</c:v>
                </c:pt>
                <c:pt idx="42">
                  <c:v>0.11899999999999999</c:v>
                </c:pt>
                <c:pt idx="43">
                  <c:v>7.2000000000000008E-2</c:v>
                </c:pt>
                <c:pt idx="44">
                  <c:v>8.666666666666667E-2</c:v>
                </c:pt>
                <c:pt idx="45">
                  <c:v>8.4499999999999992E-2</c:v>
                </c:pt>
                <c:pt idx="46">
                  <c:v>8.7499999999999994E-2</c:v>
                </c:pt>
                <c:pt idx="47">
                  <c:v>0.10793749999999999</c:v>
                </c:pt>
                <c:pt idx="48">
                  <c:v>0.11437499999999999</c:v>
                </c:pt>
                <c:pt idx="49">
                  <c:v>0.11750000000000001</c:v>
                </c:pt>
                <c:pt idx="50">
                  <c:v>0.12962499999999999</c:v>
                </c:pt>
                <c:pt idx="51">
                  <c:v>0.14879999999999999</c:v>
                </c:pt>
                <c:pt idx="52">
                  <c:v>0.16285714285714287</c:v>
                </c:pt>
                <c:pt idx="53">
                  <c:v>0.16921875</c:v>
                </c:pt>
                <c:pt idx="54">
                  <c:v>0.13950000000000001</c:v>
                </c:pt>
                <c:pt idx="55">
                  <c:v>0.141875</c:v>
                </c:pt>
                <c:pt idx="56">
                  <c:v>0.13750000000000001</c:v>
                </c:pt>
                <c:pt idx="57">
                  <c:v>0.18833333333333332</c:v>
                </c:pt>
                <c:pt idx="58">
                  <c:v>0.16999999999999998</c:v>
                </c:pt>
                <c:pt idx="59">
                  <c:v>0.13125000000000001</c:v>
                </c:pt>
                <c:pt idx="60">
                  <c:v>0.16</c:v>
                </c:pt>
                <c:pt idx="62">
                  <c:v>0.13249999999999998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C-4E54-8F9E-6B68A3F790B2}"/>
            </c:ext>
          </c:extLst>
        </c:ser>
        <c:ser>
          <c:idx val="3"/>
          <c:order val="3"/>
          <c:tx>
            <c:strRef>
              <c:f>'subsistence for Moscow'!$E$1</c:f>
              <c:strCache>
                <c:ptCount val="1"/>
                <c:pt idx="0">
                  <c:v>salt (pood)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Moscow'!$E$15:$E$78</c:f>
              <c:numCache>
                <c:formatCode>0.00;[Red]0.00</c:formatCode>
                <c:ptCount val="64"/>
                <c:pt idx="0">
                  <c:v>0.24</c:v>
                </c:pt>
                <c:pt idx="1">
                  <c:v>0.25</c:v>
                </c:pt>
                <c:pt idx="3">
                  <c:v>0.24</c:v>
                </c:pt>
                <c:pt idx="4">
                  <c:v>0.24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5">
                  <c:v>0.5</c:v>
                </c:pt>
                <c:pt idx="27">
                  <c:v>0.39990234375</c:v>
                </c:pt>
                <c:pt idx="28">
                  <c:v>0.39990234375</c:v>
                </c:pt>
                <c:pt idx="30">
                  <c:v>0.39990234375</c:v>
                </c:pt>
                <c:pt idx="33">
                  <c:v>0.39990234375</c:v>
                </c:pt>
                <c:pt idx="35">
                  <c:v>0.4</c:v>
                </c:pt>
                <c:pt idx="36">
                  <c:v>0.39990234375</c:v>
                </c:pt>
                <c:pt idx="44">
                  <c:v>0.4</c:v>
                </c:pt>
                <c:pt idx="45">
                  <c:v>0.39990234375</c:v>
                </c:pt>
                <c:pt idx="46">
                  <c:v>0.39990234375</c:v>
                </c:pt>
                <c:pt idx="47">
                  <c:v>0.39990234375</c:v>
                </c:pt>
                <c:pt idx="48">
                  <c:v>0.39990234375</c:v>
                </c:pt>
                <c:pt idx="49">
                  <c:v>0.39990234375</c:v>
                </c:pt>
                <c:pt idx="50">
                  <c:v>0.39990234375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0.44</c:v>
                </c:pt>
                <c:pt idx="58">
                  <c:v>0.4</c:v>
                </c:pt>
                <c:pt idx="59">
                  <c:v>0.39990234375</c:v>
                </c:pt>
                <c:pt idx="60">
                  <c:v>0.40600000000000003</c:v>
                </c:pt>
                <c:pt idx="61">
                  <c:v>0.4</c:v>
                </c:pt>
                <c:pt idx="63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C-4E54-8F9E-6B68A3F790B2}"/>
            </c:ext>
          </c:extLst>
        </c:ser>
        <c:ser>
          <c:idx val="4"/>
          <c:order val="4"/>
          <c:tx>
            <c:strRef>
              <c:f>'subsistence for Moscow'!$F$1</c:f>
              <c:strCache>
                <c:ptCount val="1"/>
                <c:pt idx="0">
                  <c:v>costs of food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Moscow'!$F$15:$F$78</c:f>
              <c:numCache>
                <c:formatCode>0.00</c:formatCode>
                <c:ptCount val="64"/>
                <c:pt idx="3">
                  <c:v>2.3993381400000002</c:v>
                </c:pt>
                <c:pt idx="20">
                  <c:v>3.068958013333333</c:v>
                </c:pt>
                <c:pt idx="21">
                  <c:v>3.1533738349999996</c:v>
                </c:pt>
                <c:pt idx="22">
                  <c:v>3.0994458133333334</c:v>
                </c:pt>
                <c:pt idx="25">
                  <c:v>6.5407849420000002</c:v>
                </c:pt>
                <c:pt idx="35">
                  <c:v>4.7101965799999999</c:v>
                </c:pt>
                <c:pt idx="44">
                  <c:v>7.79168436423077</c:v>
                </c:pt>
                <c:pt idx="45">
                  <c:v>12.297088983601562</c:v>
                </c:pt>
                <c:pt idx="46">
                  <c:v>8.8761705066015626</c:v>
                </c:pt>
                <c:pt idx="47">
                  <c:v>8.943243666601564</c:v>
                </c:pt>
                <c:pt idx="48">
                  <c:v>8.9317389316015632</c:v>
                </c:pt>
                <c:pt idx="49">
                  <c:v>7.7653196466015624</c:v>
                </c:pt>
                <c:pt idx="50">
                  <c:v>9.1538569166015638</c:v>
                </c:pt>
                <c:pt idx="51">
                  <c:v>11.392794910000001</c:v>
                </c:pt>
                <c:pt idx="52">
                  <c:v>10.939934329076923</c:v>
                </c:pt>
                <c:pt idx="53">
                  <c:v>11.870182655000001</c:v>
                </c:pt>
                <c:pt idx="54">
                  <c:v>14.430636582410713</c:v>
                </c:pt>
                <c:pt idx="55">
                  <c:v>12.32621372</c:v>
                </c:pt>
                <c:pt idx="56">
                  <c:v>11.192326808571432</c:v>
                </c:pt>
                <c:pt idx="57">
                  <c:v>10.893279343750001</c:v>
                </c:pt>
                <c:pt idx="58">
                  <c:v>12.694795486</c:v>
                </c:pt>
                <c:pt idx="59">
                  <c:v>13.654862729934896</c:v>
                </c:pt>
                <c:pt idx="60">
                  <c:v>11.0936112</c:v>
                </c:pt>
                <c:pt idx="61">
                  <c:v>15.164719850000001</c:v>
                </c:pt>
                <c:pt idx="63">
                  <c:v>9.6735887249999983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C-4E54-8F9E-6B68A3F790B2}"/>
            </c:ext>
          </c:extLst>
        </c:ser>
        <c:ser>
          <c:idx val="5"/>
          <c:order val="5"/>
          <c:tx>
            <c:strRef>
              <c:f>'subsistence for Moscow'!$G$1</c:f>
              <c:strCache>
                <c:ptCount val="1"/>
                <c:pt idx="0">
                  <c:v>% of food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Moscow'!$G$15:$G$78</c:f>
              <c:numCache>
                <c:formatCode>0.00;[Red]0.00</c:formatCode>
                <c:ptCount val="64"/>
                <c:pt idx="21">
                  <c:v>72.91828980702229</c:v>
                </c:pt>
                <c:pt idx="22">
                  <c:v>72.936635824482153</c:v>
                </c:pt>
                <c:pt idx="25">
                  <c:v>79.972630178767602</c:v>
                </c:pt>
                <c:pt idx="35">
                  <c:v>76.992759107307691</c:v>
                </c:pt>
                <c:pt idx="44">
                  <c:v>73.494198984510334</c:v>
                </c:pt>
                <c:pt idx="51">
                  <c:v>79.114370440426967</c:v>
                </c:pt>
                <c:pt idx="52">
                  <c:v>83.157127232017032</c:v>
                </c:pt>
                <c:pt idx="53">
                  <c:v>74.560576189995047</c:v>
                </c:pt>
                <c:pt idx="54">
                  <c:v>81.682009645868376</c:v>
                </c:pt>
                <c:pt idx="55">
                  <c:v>81.025855934309106</c:v>
                </c:pt>
                <c:pt idx="56">
                  <c:v>80.886390738040774</c:v>
                </c:pt>
                <c:pt idx="57">
                  <c:v>77.075262395262797</c:v>
                </c:pt>
                <c:pt idx="58">
                  <c:v>73.127031875824656</c:v>
                </c:pt>
                <c:pt idx="59">
                  <c:v>75.415711382951898</c:v>
                </c:pt>
                <c:pt idx="60">
                  <c:v>72.442694699152725</c:v>
                </c:pt>
                <c:pt idx="63">
                  <c:v>64.202441364508516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C-4E54-8F9E-6B68A3F790B2}"/>
            </c:ext>
          </c:extLst>
        </c:ser>
        <c:ser>
          <c:idx val="6"/>
          <c:order val="6"/>
          <c:tx>
            <c:strRef>
              <c:f>'subsistence for Moscow'!$H$1</c:f>
              <c:strCache>
                <c:ptCount val="1"/>
                <c:pt idx="0">
                  <c:v>tallow candle (pood)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Moscow'!$H$15:$H$78</c:f>
              <c:numCache>
                <c:formatCode>0.00;[Red]0.00</c:formatCode>
                <c:ptCount val="64"/>
                <c:pt idx="0">
                  <c:v>1.2</c:v>
                </c:pt>
                <c:pt idx="1">
                  <c:v>1.2</c:v>
                </c:pt>
                <c:pt idx="3">
                  <c:v>1.29</c:v>
                </c:pt>
                <c:pt idx="4">
                  <c:v>1.7</c:v>
                </c:pt>
                <c:pt idx="19">
                  <c:v>1.6</c:v>
                </c:pt>
                <c:pt idx="20">
                  <c:v>1.82</c:v>
                </c:pt>
                <c:pt idx="21">
                  <c:v>2.04</c:v>
                </c:pt>
                <c:pt idx="22">
                  <c:v>1.6800000000000002</c:v>
                </c:pt>
                <c:pt idx="25">
                  <c:v>1.6</c:v>
                </c:pt>
                <c:pt idx="27">
                  <c:v>2.65</c:v>
                </c:pt>
                <c:pt idx="28">
                  <c:v>2.4666666666666668</c:v>
                </c:pt>
                <c:pt idx="30">
                  <c:v>2.27</c:v>
                </c:pt>
                <c:pt idx="33">
                  <c:v>2.5</c:v>
                </c:pt>
                <c:pt idx="34">
                  <c:v>2</c:v>
                </c:pt>
                <c:pt idx="35">
                  <c:v>2</c:v>
                </c:pt>
                <c:pt idx="38">
                  <c:v>2.8</c:v>
                </c:pt>
                <c:pt idx="44">
                  <c:v>3.6850000000000001</c:v>
                </c:pt>
                <c:pt idx="45">
                  <c:v>4</c:v>
                </c:pt>
                <c:pt idx="46">
                  <c:v>4.375</c:v>
                </c:pt>
                <c:pt idx="47">
                  <c:v>4.75</c:v>
                </c:pt>
                <c:pt idx="48">
                  <c:v>4.7</c:v>
                </c:pt>
                <c:pt idx="49">
                  <c:v>4.8499999999999996</c:v>
                </c:pt>
                <c:pt idx="50">
                  <c:v>5.3</c:v>
                </c:pt>
                <c:pt idx="51">
                  <c:v>5.0148148148148142</c:v>
                </c:pt>
                <c:pt idx="52">
                  <c:v>4.46875</c:v>
                </c:pt>
                <c:pt idx="53">
                  <c:v>9.6699999999999982</c:v>
                </c:pt>
                <c:pt idx="54">
                  <c:v>5.6583333333333341</c:v>
                </c:pt>
                <c:pt idx="55">
                  <c:v>4.8</c:v>
                </c:pt>
                <c:pt idx="56">
                  <c:v>4.8</c:v>
                </c:pt>
                <c:pt idx="57">
                  <c:v>6</c:v>
                </c:pt>
                <c:pt idx="58">
                  <c:v>5.74</c:v>
                </c:pt>
                <c:pt idx="59">
                  <c:v>5.4600000000000009</c:v>
                </c:pt>
                <c:pt idx="60">
                  <c:v>6.0500000000000016</c:v>
                </c:pt>
                <c:pt idx="61">
                  <c:v>6.64</c:v>
                </c:pt>
                <c:pt idx="63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C-4E54-8F9E-6B68A3F790B2}"/>
            </c:ext>
          </c:extLst>
        </c:ser>
        <c:ser>
          <c:idx val="7"/>
          <c:order val="7"/>
          <c:tx>
            <c:strRef>
              <c:f>'subsistence for Moscow'!$I$1</c:f>
              <c:strCache>
                <c:ptCount val="1"/>
                <c:pt idx="0">
                  <c:v>linen cloth (arshin)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Moscow'!$I$15:$I$78</c:f>
              <c:numCache>
                <c:formatCode>0.00;[Red]0.00</c:formatCode>
                <c:ptCount val="64"/>
                <c:pt idx="0">
                  <c:v>0.02</c:v>
                </c:pt>
                <c:pt idx="1">
                  <c:v>0.01</c:v>
                </c:pt>
                <c:pt idx="3">
                  <c:v>0.03</c:v>
                </c:pt>
                <c:pt idx="4">
                  <c:v>0.03</c:v>
                </c:pt>
                <c:pt idx="7">
                  <c:v>0.04</c:v>
                </c:pt>
                <c:pt idx="15">
                  <c:v>0.04</c:v>
                </c:pt>
                <c:pt idx="20">
                  <c:v>0.03</c:v>
                </c:pt>
                <c:pt idx="21">
                  <c:v>0.02</c:v>
                </c:pt>
                <c:pt idx="22">
                  <c:v>0.03</c:v>
                </c:pt>
                <c:pt idx="23">
                  <c:v>4.4999999999999998E-2</c:v>
                </c:pt>
                <c:pt idx="24">
                  <c:v>0.03</c:v>
                </c:pt>
                <c:pt idx="25">
                  <c:v>0.05</c:v>
                </c:pt>
                <c:pt idx="26">
                  <c:v>0.05</c:v>
                </c:pt>
                <c:pt idx="27">
                  <c:v>6.3333333333333339E-2</c:v>
                </c:pt>
                <c:pt idx="33">
                  <c:v>0.09</c:v>
                </c:pt>
                <c:pt idx="35">
                  <c:v>4.4999999999999998E-2</c:v>
                </c:pt>
                <c:pt idx="37">
                  <c:v>0.06</c:v>
                </c:pt>
                <c:pt idx="38">
                  <c:v>0.05</c:v>
                </c:pt>
                <c:pt idx="39">
                  <c:v>4.2499999999999996E-2</c:v>
                </c:pt>
                <c:pt idx="44">
                  <c:v>4.2599999999999999E-2</c:v>
                </c:pt>
                <c:pt idx="45">
                  <c:v>3.3799999999999997E-2</c:v>
                </c:pt>
                <c:pt idx="46">
                  <c:v>2.5000000000000001E-2</c:v>
                </c:pt>
                <c:pt idx="47">
                  <c:v>0.08</c:v>
                </c:pt>
                <c:pt idx="50">
                  <c:v>0.06</c:v>
                </c:pt>
                <c:pt idx="51">
                  <c:v>0.05</c:v>
                </c:pt>
                <c:pt idx="52">
                  <c:v>0.04</c:v>
                </c:pt>
                <c:pt idx="53">
                  <c:v>0.04</c:v>
                </c:pt>
                <c:pt idx="54">
                  <c:v>7.4999999999999997E-2</c:v>
                </c:pt>
                <c:pt idx="55">
                  <c:v>0.1</c:v>
                </c:pt>
                <c:pt idx="56">
                  <c:v>7.4999999999999997E-2</c:v>
                </c:pt>
                <c:pt idx="57">
                  <c:v>8.4999999999999992E-2</c:v>
                </c:pt>
                <c:pt idx="58">
                  <c:v>8.4999999999999992E-2</c:v>
                </c:pt>
                <c:pt idx="59">
                  <c:v>8.4999999999999992E-2</c:v>
                </c:pt>
                <c:pt idx="60">
                  <c:v>0.09</c:v>
                </c:pt>
                <c:pt idx="63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C-4E54-8F9E-6B68A3F790B2}"/>
            </c:ext>
          </c:extLst>
        </c:ser>
        <c:ser>
          <c:idx val="8"/>
          <c:order val="8"/>
          <c:tx>
            <c:strRef>
              <c:f>'subsistence for Moscow'!$J$1</c:f>
              <c:strCache>
                <c:ptCount val="1"/>
                <c:pt idx="0">
                  <c:v>soap (pood)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Moscow'!$J$15:$J$78</c:f>
              <c:numCache>
                <c:formatCode>0.00;[Red]0.00</c:formatCode>
                <c:ptCount val="64"/>
                <c:pt idx="3">
                  <c:v>1.34</c:v>
                </c:pt>
                <c:pt idx="4">
                  <c:v>1.2</c:v>
                </c:pt>
                <c:pt idx="15">
                  <c:v>1.8</c:v>
                </c:pt>
                <c:pt idx="20">
                  <c:v>2.2000000000000002</c:v>
                </c:pt>
                <c:pt idx="21">
                  <c:v>2.8000000000000003</c:v>
                </c:pt>
                <c:pt idx="22">
                  <c:v>1.6</c:v>
                </c:pt>
                <c:pt idx="23">
                  <c:v>1.6</c:v>
                </c:pt>
                <c:pt idx="25">
                  <c:v>1.6</c:v>
                </c:pt>
                <c:pt idx="35">
                  <c:v>1.2</c:v>
                </c:pt>
                <c:pt idx="36">
                  <c:v>4</c:v>
                </c:pt>
                <c:pt idx="44">
                  <c:v>1.6</c:v>
                </c:pt>
                <c:pt idx="45">
                  <c:v>1.6</c:v>
                </c:pt>
                <c:pt idx="46">
                  <c:v>1.6</c:v>
                </c:pt>
                <c:pt idx="47">
                  <c:v>1.6</c:v>
                </c:pt>
                <c:pt idx="50">
                  <c:v>3.64</c:v>
                </c:pt>
                <c:pt idx="51">
                  <c:v>3.64</c:v>
                </c:pt>
                <c:pt idx="52">
                  <c:v>3.6419999999999999</c:v>
                </c:pt>
                <c:pt idx="53">
                  <c:v>4.3</c:v>
                </c:pt>
                <c:pt idx="54">
                  <c:v>4.84375</c:v>
                </c:pt>
                <c:pt idx="55">
                  <c:v>4.8718749999999993</c:v>
                </c:pt>
                <c:pt idx="56">
                  <c:v>4.87</c:v>
                </c:pt>
                <c:pt idx="57">
                  <c:v>4.8999999999999995</c:v>
                </c:pt>
                <c:pt idx="58">
                  <c:v>5.0999999999999996</c:v>
                </c:pt>
                <c:pt idx="59">
                  <c:v>4.9980000000000002</c:v>
                </c:pt>
                <c:pt idx="60">
                  <c:v>4.6166666666666663</c:v>
                </c:pt>
                <c:pt idx="63">
                  <c:v>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BC-4E54-8F9E-6B68A3F790B2}"/>
            </c:ext>
          </c:extLst>
        </c:ser>
        <c:ser>
          <c:idx val="9"/>
          <c:order val="9"/>
          <c:tx>
            <c:strRef>
              <c:f>'subsistence for Moscow'!$K$1</c:f>
              <c:strCache>
                <c:ptCount val="1"/>
                <c:pt idx="0">
                  <c:v>costs of industrial goods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Moscow'!$K$15:$K$78</c:f>
              <c:numCache>
                <c:formatCode>0.00;[Red]0.00</c:formatCode>
                <c:ptCount val="64"/>
                <c:pt idx="3">
                  <c:v>0.52237842000000001</c:v>
                </c:pt>
                <c:pt idx="20">
                  <c:v>0.6747592200000001</c:v>
                </c:pt>
                <c:pt idx="21">
                  <c:v>0.68687628000000012</c:v>
                </c:pt>
                <c:pt idx="22">
                  <c:v>0.60491802000000006</c:v>
                </c:pt>
                <c:pt idx="23">
                  <c:v>0.44388543000000003</c:v>
                </c:pt>
                <c:pt idx="25">
                  <c:v>0.73306470000000001</c:v>
                </c:pt>
                <c:pt idx="35">
                  <c:v>0.72959943000000005</c:v>
                </c:pt>
                <c:pt idx="44">
                  <c:v>1.0119040704</c:v>
                </c:pt>
                <c:pt idx="45">
                  <c:v>0.99993218520000005</c:v>
                </c:pt>
                <c:pt idx="46">
                  <c:v>0.99748409999999998</c:v>
                </c:pt>
                <c:pt idx="51">
                  <c:v>1.4370028555555554</c:v>
                </c:pt>
                <c:pt idx="52">
                  <c:v>1.2800621775000001</c:v>
                </c:pt>
                <c:pt idx="53">
                  <c:v>2.15787876</c:v>
                </c:pt>
                <c:pt idx="54">
                  <c:v>1.8107405187500001</c:v>
                </c:pt>
                <c:pt idx="55">
                  <c:v>1.8527857593750001</c:v>
                </c:pt>
                <c:pt idx="56">
                  <c:v>1.6765805999999999</c:v>
                </c:pt>
                <c:pt idx="57">
                  <c:v>1.93986009</c:v>
                </c:pt>
                <c:pt idx="58">
                  <c:v>1.91446329</c:v>
                </c:pt>
                <c:pt idx="59">
                  <c:v>1.8619236600000002</c:v>
                </c:pt>
                <c:pt idx="60">
                  <c:v>1.9605211100000002</c:v>
                </c:pt>
                <c:pt idx="63">
                  <c:v>2.1962874000000001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BBC-4E54-8F9E-6B68A3F790B2}"/>
            </c:ext>
          </c:extLst>
        </c:ser>
        <c:ser>
          <c:idx val="10"/>
          <c:order val="10"/>
          <c:tx>
            <c:strRef>
              <c:f>'subsistence for Moscow'!$L$1</c:f>
              <c:strCache>
                <c:ptCount val="1"/>
                <c:pt idx="0">
                  <c:v>% of industrial goods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Moscow'!$L$15:$L$78</c:f>
              <c:numCache>
                <c:formatCode>0.00;[Red]0.00</c:formatCode>
                <c:ptCount val="64"/>
                <c:pt idx="21">
                  <c:v>15.883255924399274</c:v>
                </c:pt>
                <c:pt idx="22">
                  <c:v>14.235023931893403</c:v>
                </c:pt>
                <c:pt idx="25">
                  <c:v>8.9630086709873087</c:v>
                </c:pt>
                <c:pt idx="35">
                  <c:v>11.926014595089152</c:v>
                </c:pt>
                <c:pt idx="44">
                  <c:v>9.5446729650162876</c:v>
                </c:pt>
                <c:pt idx="51">
                  <c:v>9.9789013263623811</c:v>
                </c:pt>
                <c:pt idx="52">
                  <c:v>9.7300669416579471</c:v>
                </c:pt>
                <c:pt idx="53">
                  <c:v>13.554356185579017</c:v>
                </c:pt>
                <c:pt idx="54">
                  <c:v>10.249369365935063</c:v>
                </c:pt>
                <c:pt idx="55">
                  <c:v>12.179210536701472</c:v>
                </c:pt>
                <c:pt idx="56">
                  <c:v>12.116564842581482</c:v>
                </c:pt>
                <c:pt idx="57">
                  <c:v>13.725455919078417</c:v>
                </c:pt>
                <c:pt idx="58">
                  <c:v>11.028064074550789</c:v>
                </c:pt>
                <c:pt idx="59">
                  <c:v>10.283391355653633</c:v>
                </c:pt>
                <c:pt idx="60">
                  <c:v>12.80245266058847</c:v>
                </c:pt>
                <c:pt idx="63">
                  <c:v>14.576494517871794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BBC-4E54-8F9E-6B68A3F790B2}"/>
            </c:ext>
          </c:extLst>
        </c:ser>
        <c:ser>
          <c:idx val="11"/>
          <c:order val="11"/>
          <c:tx>
            <c:strRef>
              <c:f>'subsistence for Moscow'!$M$1</c:f>
              <c:strCache>
                <c:ptCount val="1"/>
                <c:pt idx="0">
                  <c:v>the cost of basket without firewood and rent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Moscow'!$M$15:$M$78</c:f>
              <c:numCache>
                <c:formatCode>0.00;[Red]0.00</c:formatCode>
                <c:ptCount val="64"/>
                <c:pt idx="3">
                  <c:v>2.9217165600000001</c:v>
                </c:pt>
                <c:pt idx="20">
                  <c:v>3.7437172333333333</c:v>
                </c:pt>
                <c:pt idx="21">
                  <c:v>3.8402501149999999</c:v>
                </c:pt>
                <c:pt idx="22">
                  <c:v>3.7043638333333333</c:v>
                </c:pt>
                <c:pt idx="25">
                  <c:v>7.2738496420000001</c:v>
                </c:pt>
                <c:pt idx="35">
                  <c:v>5.4397960100000002</c:v>
                </c:pt>
                <c:pt idx="44">
                  <c:v>8.80358843463077</c:v>
                </c:pt>
                <c:pt idx="51">
                  <c:v>12.829797765555556</c:v>
                </c:pt>
                <c:pt idx="52">
                  <c:v>12.219996506576923</c:v>
                </c:pt>
                <c:pt idx="53">
                  <c:v>14.028061415</c:v>
                </c:pt>
                <c:pt idx="54">
                  <c:v>16.241377101160712</c:v>
                </c:pt>
                <c:pt idx="55">
                  <c:v>14.178999479375001</c:v>
                </c:pt>
                <c:pt idx="56">
                  <c:v>12.868907408571431</c:v>
                </c:pt>
                <c:pt idx="57">
                  <c:v>12.83313943375</c:v>
                </c:pt>
                <c:pt idx="58">
                  <c:v>14.609258776000001</c:v>
                </c:pt>
                <c:pt idx="59">
                  <c:v>15.516786389934897</c:v>
                </c:pt>
                <c:pt idx="60">
                  <c:v>13.05413231</c:v>
                </c:pt>
                <c:pt idx="63">
                  <c:v>11.869876124999998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BBC-4E54-8F9E-6B68A3F790B2}"/>
            </c:ext>
          </c:extLst>
        </c:ser>
        <c:ser>
          <c:idx val="12"/>
          <c:order val="12"/>
          <c:tx>
            <c:strRef>
              <c:f>'subsistence for Moscow'!$O$1</c:f>
              <c:strCache>
                <c:ptCount val="1"/>
                <c:pt idx="0">
                  <c:v>costs of firewood (0.26 of sazhen)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Moscow'!$O$15:$O$78</c:f>
              <c:numCache>
                <c:formatCode>#,##0.00;[Red]#,##0.00</c:formatCode>
                <c:ptCount val="64"/>
                <c:pt idx="3">
                  <c:v>0.89433004000000016</c:v>
                </c:pt>
                <c:pt idx="20">
                  <c:v>0.25773200000000002</c:v>
                </c:pt>
                <c:pt idx="21">
                  <c:v>0.27835056000000002</c:v>
                </c:pt>
                <c:pt idx="22">
                  <c:v>0.34278356000000004</c:v>
                </c:pt>
                <c:pt idx="25">
                  <c:v>0.51546400000000003</c:v>
                </c:pt>
                <c:pt idx="30">
                  <c:v>0.86340220000000012</c:v>
                </c:pt>
                <c:pt idx="35">
                  <c:v>0.386598</c:v>
                </c:pt>
                <c:pt idx="44">
                  <c:v>0.33333338666666668</c:v>
                </c:pt>
                <c:pt idx="45">
                  <c:v>1.0589921511111111</c:v>
                </c:pt>
                <c:pt idx="46">
                  <c:v>0.54123720000000008</c:v>
                </c:pt>
                <c:pt idx="47">
                  <c:v>0.39518906666666664</c:v>
                </c:pt>
                <c:pt idx="48">
                  <c:v>0.25773200000000002</c:v>
                </c:pt>
                <c:pt idx="49">
                  <c:v>0.28350520000000007</c:v>
                </c:pt>
                <c:pt idx="50">
                  <c:v>0.25773200000000002</c:v>
                </c:pt>
                <c:pt idx="51">
                  <c:v>0.88487986666666674</c:v>
                </c:pt>
                <c:pt idx="52">
                  <c:v>0.30927840000000001</c:v>
                </c:pt>
                <c:pt idx="53">
                  <c:v>1.1340207999999998</c:v>
                </c:pt>
                <c:pt idx="54">
                  <c:v>0.58419253333333332</c:v>
                </c:pt>
                <c:pt idx="55">
                  <c:v>0.30927840000000001</c:v>
                </c:pt>
                <c:pt idx="56">
                  <c:v>0.30927840000000001</c:v>
                </c:pt>
                <c:pt idx="57">
                  <c:v>0.62714786666666678</c:v>
                </c:pt>
                <c:pt idx="58">
                  <c:v>1.9240000000000002</c:v>
                </c:pt>
                <c:pt idx="59">
                  <c:v>1.727141875</c:v>
                </c:pt>
                <c:pt idx="60">
                  <c:v>1.5302837500000002</c:v>
                </c:pt>
                <c:pt idx="61">
                  <c:v>0.30927840000000001</c:v>
                </c:pt>
                <c:pt idx="63">
                  <c:v>2.4799545777777783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BBC-4E54-8F9E-6B68A3F790B2}"/>
            </c:ext>
          </c:extLst>
        </c:ser>
        <c:ser>
          <c:idx val="13"/>
          <c:order val="13"/>
          <c:tx>
            <c:strRef>
              <c:f>'subsistence for Moscow'!$P$1</c:f>
              <c:strCache>
                <c:ptCount val="1"/>
                <c:pt idx="0">
                  <c:v>% of firewood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Moscow'!$P$15:$P$78</c:f>
              <c:numCache>
                <c:formatCode>0.00;[Red]0.00</c:formatCode>
                <c:ptCount val="64"/>
                <c:pt idx="21">
                  <c:v>6.4365495066736829</c:v>
                </c:pt>
                <c:pt idx="22">
                  <c:v>8.0664354817196848</c:v>
                </c:pt>
                <c:pt idx="25">
                  <c:v>6.3024563883403495</c:v>
                </c:pt>
                <c:pt idx="35">
                  <c:v>6.3193215356983963</c:v>
                </c:pt>
                <c:pt idx="44">
                  <c:v>12.199223288568623</c:v>
                </c:pt>
                <c:pt idx="51">
                  <c:v>6.1448234713058918</c:v>
                </c:pt>
                <c:pt idx="52">
                  <c:v>2.3509010644202575</c:v>
                </c:pt>
                <c:pt idx="53">
                  <c:v>7.123162862521184</c:v>
                </c:pt>
                <c:pt idx="54">
                  <c:v>3.3067162262918042</c:v>
                </c:pt>
                <c:pt idx="55">
                  <c:v>2.0330287670846601</c:v>
                </c:pt>
                <c:pt idx="56">
                  <c:v>2.235139657472986</c:v>
                </c:pt>
                <c:pt idx="57">
                  <c:v>4.4373769237540239</c:v>
                </c:pt>
                <c:pt idx="58">
                  <c:v>11.082999287719808</c:v>
                </c:pt>
                <c:pt idx="59">
                  <c:v>9.538992499489698</c:v>
                </c:pt>
                <c:pt idx="60">
                  <c:v>9.9929478783540358</c:v>
                </c:pt>
                <c:pt idx="63">
                  <c:v>16.459159355714938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BBC-4E54-8F9E-6B68A3F790B2}"/>
            </c:ext>
          </c:extLst>
        </c:ser>
        <c:ser>
          <c:idx val="14"/>
          <c:order val="14"/>
          <c:tx>
            <c:strRef>
              <c:f>'subsistence for Moscow'!$Q$1</c:f>
              <c:strCache>
                <c:ptCount val="1"/>
                <c:pt idx="0">
                  <c:v>5% of rent (roubles)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Moscow'!$Q$15:$Q$78</c:f>
              <c:numCache>
                <c:formatCode>0.00;[Red]0.00</c:formatCode>
                <c:ptCount val="64"/>
                <c:pt idx="3">
                  <c:v>0.19080233000000002</c:v>
                </c:pt>
                <c:pt idx="20">
                  <c:v>0.20007246166666667</c:v>
                </c:pt>
                <c:pt idx="21">
                  <c:v>0.20593003374999999</c:v>
                </c:pt>
                <c:pt idx="22">
                  <c:v>0.2023573696666667</c:v>
                </c:pt>
                <c:pt idx="25">
                  <c:v>0.38946568209999999</c:v>
                </c:pt>
                <c:pt idx="35">
                  <c:v>0.29131970050000006</c:v>
                </c:pt>
                <c:pt idx="44">
                  <c:v>0.50484608839820522</c:v>
                </c:pt>
                <c:pt idx="45">
                  <c:v>0.87029550288452262</c:v>
                </c:pt>
                <c:pt idx="46">
                  <c:v>0.59868273033007813</c:v>
                </c:pt>
                <c:pt idx="47">
                  <c:v>0.52382884999674484</c:v>
                </c:pt>
                <c:pt idx="50">
                  <c:v>0.47057944583007827</c:v>
                </c:pt>
                <c:pt idx="51">
                  <c:v>0.68573388161111115</c:v>
                </c:pt>
                <c:pt idx="52">
                  <c:v>0.62646374532884619</c:v>
                </c:pt>
                <c:pt idx="53">
                  <c:v>0.75810411075000006</c:v>
                </c:pt>
                <c:pt idx="54">
                  <c:v>0.84127848172470232</c:v>
                </c:pt>
                <c:pt idx="55">
                  <c:v>0.72441389396875011</c:v>
                </c:pt>
                <c:pt idx="56">
                  <c:v>0.6589092904285716</c:v>
                </c:pt>
                <c:pt idx="57">
                  <c:v>0.67301436502083334</c:v>
                </c:pt>
                <c:pt idx="58">
                  <c:v>0.82666293880000008</c:v>
                </c:pt>
                <c:pt idx="59">
                  <c:v>0.8621964132467449</c:v>
                </c:pt>
                <c:pt idx="60">
                  <c:v>0.72922080300000003</c:v>
                </c:pt>
                <c:pt idx="63">
                  <c:v>0.71749153513888886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BBC-4E54-8F9E-6B68A3F790B2}"/>
            </c:ext>
          </c:extLst>
        </c:ser>
        <c:ser>
          <c:idx val="15"/>
          <c:order val="15"/>
          <c:tx>
            <c:strRef>
              <c:f>'subsistence for Moscow'!$R$1</c:f>
              <c:strCache>
                <c:ptCount val="1"/>
                <c:pt idx="0">
                  <c:v>the costs of barebone basket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'subsistence for Moscow'!$A$15:$A$78</c:f>
              <c:numCache>
                <c:formatCode>General</c:formatCode>
                <c:ptCount val="64"/>
                <c:pt idx="0">
                  <c:v>1735</c:v>
                </c:pt>
                <c:pt idx="1">
                  <c:v>1736</c:v>
                </c:pt>
                <c:pt idx="2">
                  <c:v>1737</c:v>
                </c:pt>
                <c:pt idx="3">
                  <c:v>1738</c:v>
                </c:pt>
                <c:pt idx="4">
                  <c:v>1741</c:v>
                </c:pt>
                <c:pt idx="5">
                  <c:v>1744</c:v>
                </c:pt>
                <c:pt idx="6">
                  <c:v>1745</c:v>
                </c:pt>
                <c:pt idx="7">
                  <c:v>1746</c:v>
                </c:pt>
                <c:pt idx="8">
                  <c:v>1747</c:v>
                </c:pt>
                <c:pt idx="9">
                  <c:v>1748</c:v>
                </c:pt>
                <c:pt idx="10">
                  <c:v>1749</c:v>
                </c:pt>
                <c:pt idx="11">
                  <c:v>1750</c:v>
                </c:pt>
                <c:pt idx="12">
                  <c:v>1751</c:v>
                </c:pt>
                <c:pt idx="13">
                  <c:v>1752</c:v>
                </c:pt>
                <c:pt idx="14">
                  <c:v>1753</c:v>
                </c:pt>
                <c:pt idx="15">
                  <c:v>1757</c:v>
                </c:pt>
                <c:pt idx="16">
                  <c:v>1758</c:v>
                </c:pt>
                <c:pt idx="17">
                  <c:v>1759</c:v>
                </c:pt>
                <c:pt idx="18">
                  <c:v>1760</c:v>
                </c:pt>
                <c:pt idx="19">
                  <c:v>1761</c:v>
                </c:pt>
                <c:pt idx="20">
                  <c:v>1762</c:v>
                </c:pt>
                <c:pt idx="21">
                  <c:v>1763</c:v>
                </c:pt>
                <c:pt idx="22">
                  <c:v>1764</c:v>
                </c:pt>
                <c:pt idx="23">
                  <c:v>1765</c:v>
                </c:pt>
                <c:pt idx="24">
                  <c:v>1766</c:v>
                </c:pt>
                <c:pt idx="25">
                  <c:v>1767</c:v>
                </c:pt>
                <c:pt idx="26">
                  <c:v>1768</c:v>
                </c:pt>
                <c:pt idx="27">
                  <c:v>1769</c:v>
                </c:pt>
                <c:pt idx="28">
                  <c:v>1770</c:v>
                </c:pt>
                <c:pt idx="29">
                  <c:v>1771</c:v>
                </c:pt>
                <c:pt idx="30">
                  <c:v>1772</c:v>
                </c:pt>
                <c:pt idx="31">
                  <c:v>1773</c:v>
                </c:pt>
                <c:pt idx="32">
                  <c:v>1774</c:v>
                </c:pt>
                <c:pt idx="33">
                  <c:v>1775</c:v>
                </c:pt>
                <c:pt idx="34">
                  <c:v>1776</c:v>
                </c:pt>
                <c:pt idx="35">
                  <c:v>1777</c:v>
                </c:pt>
                <c:pt idx="36">
                  <c:v>1778</c:v>
                </c:pt>
                <c:pt idx="37">
                  <c:v>1779</c:v>
                </c:pt>
                <c:pt idx="38">
                  <c:v>1780</c:v>
                </c:pt>
                <c:pt idx="39">
                  <c:v>1781</c:v>
                </c:pt>
                <c:pt idx="40">
                  <c:v>1782</c:v>
                </c:pt>
                <c:pt idx="41">
                  <c:v>1783</c:v>
                </c:pt>
                <c:pt idx="42">
                  <c:v>1784</c:v>
                </c:pt>
                <c:pt idx="43">
                  <c:v>1785</c:v>
                </c:pt>
                <c:pt idx="44">
                  <c:v>1786</c:v>
                </c:pt>
                <c:pt idx="45">
                  <c:v>1787</c:v>
                </c:pt>
                <c:pt idx="46">
                  <c:v>1788</c:v>
                </c:pt>
                <c:pt idx="47">
                  <c:v>1789</c:v>
                </c:pt>
                <c:pt idx="48">
                  <c:v>1790</c:v>
                </c:pt>
                <c:pt idx="49">
                  <c:v>1791</c:v>
                </c:pt>
                <c:pt idx="50">
                  <c:v>1792</c:v>
                </c:pt>
                <c:pt idx="51">
                  <c:v>1793</c:v>
                </c:pt>
                <c:pt idx="52">
                  <c:v>1794</c:v>
                </c:pt>
                <c:pt idx="53">
                  <c:v>1795</c:v>
                </c:pt>
                <c:pt idx="54">
                  <c:v>1796</c:v>
                </c:pt>
                <c:pt idx="55">
                  <c:v>1797</c:v>
                </c:pt>
                <c:pt idx="56">
                  <c:v>1798</c:v>
                </c:pt>
                <c:pt idx="57">
                  <c:v>1799</c:v>
                </c:pt>
                <c:pt idx="58">
                  <c:v>1800</c:v>
                </c:pt>
                <c:pt idx="59">
                  <c:v>1801</c:v>
                </c:pt>
                <c:pt idx="60">
                  <c:v>1802</c:v>
                </c:pt>
                <c:pt idx="61">
                  <c:v>1803</c:v>
                </c:pt>
                <c:pt idx="62">
                  <c:v>1804</c:v>
                </c:pt>
                <c:pt idx="63">
                  <c:v>1805</c:v>
                </c:pt>
              </c:numCache>
            </c:numRef>
          </c:xVal>
          <c:yVal>
            <c:numRef>
              <c:f>'subsistence for Moscow'!$R$15:$R$78</c:f>
              <c:numCache>
                <c:formatCode>General</c:formatCode>
                <c:ptCount val="64"/>
                <c:pt idx="3" formatCode="0.00;[Red]0.00">
                  <c:v>4.0068489300000003</c:v>
                </c:pt>
                <c:pt idx="20" formatCode="0.00;[Red]0.00">
                  <c:v>4.2015216949999994</c:v>
                </c:pt>
                <c:pt idx="21" formatCode="0.00;[Red]0.00">
                  <c:v>4.3245307087499993</c:v>
                </c:pt>
                <c:pt idx="22" formatCode="0.00;[Red]0.00">
                  <c:v>4.249504763</c:v>
                </c:pt>
                <c:pt idx="25" formatCode="0.00;[Red]0.00">
                  <c:v>8.1787793240999989</c:v>
                </c:pt>
                <c:pt idx="35" formatCode="0.00;[Red]0.00">
                  <c:v>6.1177137105000003</c:v>
                </c:pt>
                <c:pt idx="44" formatCode="0.00;[Red]0.00">
                  <c:v>10.601767856362308</c:v>
                </c:pt>
                <c:pt idx="45" formatCode="0.00;[Red]0.00">
                  <c:v>18.276205560574976</c:v>
                </c:pt>
                <c:pt idx="46" formatCode="0.00;[Red]0.00">
                  <c:v>12.572337336931639</c:v>
                </c:pt>
                <c:pt idx="47" formatCode="0.00;[Red]0.00">
                  <c:v>11.000405849931642</c:v>
                </c:pt>
                <c:pt idx="50" formatCode="0.00;[Red]0.00">
                  <c:v>9.8821683624316421</c:v>
                </c:pt>
                <c:pt idx="51" formatCode="0.00;[Red]0.00">
                  <c:v>14.400411513833333</c:v>
                </c:pt>
                <c:pt idx="52" formatCode="0.00;[Red]0.00">
                  <c:v>13.15573865190577</c:v>
                </c:pt>
                <c:pt idx="53" formatCode="0.00;[Red]0.00">
                  <c:v>15.92018632575</c:v>
                </c:pt>
                <c:pt idx="54" formatCode="0.00;[Red]0.00">
                  <c:v>17.666848116218748</c:v>
                </c:pt>
                <c:pt idx="55" formatCode="0.00;[Red]0.00">
                  <c:v>15.212691773343751</c:v>
                </c:pt>
                <c:pt idx="56" formatCode="0.00;[Red]0.00">
                  <c:v>13.837095099000003</c:v>
                </c:pt>
                <c:pt idx="57" formatCode="0.00;[Red]0.00">
                  <c:v>14.1333016654375</c:v>
                </c:pt>
                <c:pt idx="58" formatCode="0.00;[Red]0.00">
                  <c:v>17.359921714799999</c:v>
                </c:pt>
                <c:pt idx="59" formatCode="0.00;[Red]0.00">
                  <c:v>18.106124678181644</c:v>
                </c:pt>
                <c:pt idx="60" formatCode="0.00;[Red]0.00">
                  <c:v>15.313636863000001</c:v>
                </c:pt>
                <c:pt idx="63" formatCode="0.00;[Red]0.00">
                  <c:v>15.067322237916665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BBC-4E54-8F9E-6B68A3F79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95104"/>
        <c:axId val="217301376"/>
      </c:scatterChart>
      <c:valAx>
        <c:axId val="217295104"/>
        <c:scaling>
          <c:orientation val="minMax"/>
          <c:max val="18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301376"/>
        <c:crosses val="autoZero"/>
        <c:crossBetween val="midCat"/>
      </c:valAx>
      <c:valAx>
        <c:axId val="2173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29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'wages for Moscow'!$C$2</c:f>
              <c:strCache>
                <c:ptCount val="1"/>
                <c:pt idx="0">
                  <c:v>blacksmith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'wages for Moscow'!$C$3:$C$52</c:f>
            </c:numRef>
          </c:yVal>
          <c:smooth val="0"/>
          <c:extLst>
            <c:ext xmlns:c16="http://schemas.microsoft.com/office/drawing/2014/chart" uri="{C3380CC4-5D6E-409C-BE32-E72D297353CC}">
              <c16:uniqueId val="{00000000-2B92-48EE-AD2B-85645EBD8FB9}"/>
            </c:ext>
          </c:extLst>
        </c:ser>
        <c:ser>
          <c:idx val="2"/>
          <c:order val="1"/>
          <c:tx>
            <c:strRef>
              <c:f>'wages for Moscow'!$E$2</c:f>
              <c:strCache>
                <c:ptCount val="1"/>
                <c:pt idx="0">
                  <c:v>bricklayer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'wages for Moscow'!$E$3:$E$52</c:f>
            </c:numRef>
          </c:yVal>
          <c:smooth val="0"/>
          <c:extLst>
            <c:ext xmlns:c16="http://schemas.microsoft.com/office/drawing/2014/chart" uri="{C3380CC4-5D6E-409C-BE32-E72D297353CC}">
              <c16:uniqueId val="{00000002-2B92-48EE-AD2B-85645EBD8FB9}"/>
            </c:ext>
          </c:extLst>
        </c:ser>
        <c:ser>
          <c:idx val="4"/>
          <c:order val="3"/>
          <c:tx>
            <c:strRef>
              <c:f>'wages for Moscow'!$G$2</c:f>
              <c:strCache>
                <c:ptCount val="1"/>
                <c:pt idx="0">
                  <c:v>brickmaker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'wages for Moscow'!$G$3:$G$52</c:f>
            </c:numRef>
          </c:yVal>
          <c:smooth val="0"/>
          <c:extLst>
            <c:ext xmlns:c16="http://schemas.microsoft.com/office/drawing/2014/chart" uri="{C3380CC4-5D6E-409C-BE32-E72D297353CC}">
              <c16:uniqueId val="{00000004-2B92-48EE-AD2B-85645EBD8FB9}"/>
            </c:ext>
          </c:extLst>
        </c:ser>
        <c:ser>
          <c:idx val="6"/>
          <c:order val="4"/>
          <c:tx>
            <c:strRef>
              <c:f>'wages for Moscow'!$I$2</c:f>
              <c:strCache>
                <c:ptCount val="1"/>
                <c:pt idx="0">
                  <c:v>carpenter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yVal>
            <c:numRef>
              <c:f>'wages for Moscow'!$I$3:$I$52</c:f>
            </c:numRef>
          </c:yVal>
          <c:smooth val="0"/>
          <c:extLst>
            <c:ext xmlns:c16="http://schemas.microsoft.com/office/drawing/2014/chart" uri="{C3380CC4-5D6E-409C-BE32-E72D297353CC}">
              <c16:uniqueId val="{00000006-2B92-48EE-AD2B-85645EBD8FB9}"/>
            </c:ext>
          </c:extLst>
        </c:ser>
        <c:ser>
          <c:idx val="8"/>
          <c:order val="6"/>
          <c:tx>
            <c:strRef>
              <c:f>'wages for Moscow'!$K$2</c:f>
              <c:strCache>
                <c:ptCount val="1"/>
                <c:pt idx="0">
                  <c:v>skilled labour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yVal>
            <c:numRef>
              <c:f>'wages for Moscow'!$K$3:$K$52</c:f>
            </c:numRef>
          </c:yVal>
          <c:smooth val="0"/>
          <c:extLst>
            <c:ext xmlns:c16="http://schemas.microsoft.com/office/drawing/2014/chart" uri="{C3380CC4-5D6E-409C-BE32-E72D297353CC}">
              <c16:uniqueId val="{00000008-2B92-48EE-AD2B-85645EBD8FB9}"/>
            </c:ext>
          </c:extLst>
        </c:ser>
        <c:ser>
          <c:idx val="9"/>
          <c:order val="7"/>
          <c:tx>
            <c:strRef>
              <c:f>'wages for Moscow'!$L$2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yVal>
            <c:numRef>
              <c:f>'wages for Moscow'!$L$3:$L$52</c:f>
            </c:numRef>
          </c:yVal>
          <c:smooth val="0"/>
          <c:extLst>
            <c:ext xmlns:c16="http://schemas.microsoft.com/office/drawing/2014/chart" uri="{C3380CC4-5D6E-409C-BE32-E72D297353CC}">
              <c16:uniqueId val="{00000009-2B92-48EE-AD2B-85645EBD8FB9}"/>
            </c:ext>
          </c:extLst>
        </c:ser>
        <c:ser>
          <c:idx val="10"/>
          <c:order val="8"/>
          <c:tx>
            <c:strRef>
              <c:f>'wages for Moscow'!$M$2</c:f>
              <c:strCache>
                <c:ptCount val="1"/>
                <c:pt idx="0">
                  <c:v>labourer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yVal>
            <c:numRef>
              <c:f>'wages for Moscow'!$M$3:$M$52</c:f>
            </c:numRef>
          </c:yVal>
          <c:smooth val="0"/>
          <c:extLst>
            <c:ext xmlns:c16="http://schemas.microsoft.com/office/drawing/2014/chart" uri="{C3380CC4-5D6E-409C-BE32-E72D297353CC}">
              <c16:uniqueId val="{0000000A-2B92-48EE-AD2B-85645EBD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454616"/>
        <c:axId val="813456584"/>
      </c:scatterChart>
      <c:scatterChart>
        <c:scatterStyle val="lineMarker"/>
        <c:varyColors val="0"/>
        <c:ser>
          <c:idx val="3"/>
          <c:order val="2"/>
          <c:tx>
            <c:strRef>
              <c:f>'wages for Moscow'!$F$2</c:f>
              <c:strCache>
                <c:ptCount val="1"/>
                <c:pt idx="0">
                  <c:v>bricklayer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'wages for Moscow'!$B$3:$B$52</c:f>
              <c:numCache>
                <c:formatCode>General</c:formatCode>
                <c:ptCount val="4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</c:numCache>
            </c:numRef>
          </c:xVal>
          <c:yVal>
            <c:numRef>
              <c:f>'wages for Moscow'!$F$3:$F$52</c:f>
              <c:numCache>
                <c:formatCode>0.00</c:formatCode>
                <c:ptCount val="49"/>
                <c:pt idx="1">
                  <c:v>0.02</c:v>
                </c:pt>
                <c:pt idx="2">
                  <c:v>0.03</c:v>
                </c:pt>
                <c:pt idx="5">
                  <c:v>0.1</c:v>
                </c:pt>
                <c:pt idx="15">
                  <c:v>0.12</c:v>
                </c:pt>
                <c:pt idx="18">
                  <c:v>0.15</c:v>
                </c:pt>
                <c:pt idx="19">
                  <c:v>0.24</c:v>
                </c:pt>
                <c:pt idx="24">
                  <c:v>0.16</c:v>
                </c:pt>
                <c:pt idx="27">
                  <c:v>0.26650000000000001</c:v>
                </c:pt>
                <c:pt idx="29">
                  <c:v>0.45305000000000001</c:v>
                </c:pt>
                <c:pt idx="30">
                  <c:v>0.45305000000000001</c:v>
                </c:pt>
                <c:pt idx="31">
                  <c:v>0.36909999999999998</c:v>
                </c:pt>
                <c:pt idx="32">
                  <c:v>0.44772000000000001</c:v>
                </c:pt>
                <c:pt idx="33">
                  <c:v>0.44772000000000001</c:v>
                </c:pt>
                <c:pt idx="39">
                  <c:v>0.25</c:v>
                </c:pt>
                <c:pt idx="41">
                  <c:v>0.40508000000000005</c:v>
                </c:pt>
                <c:pt idx="43">
                  <c:v>0.158</c:v>
                </c:pt>
                <c:pt idx="44">
                  <c:v>0.185</c:v>
                </c:pt>
                <c:pt idx="45">
                  <c:v>0.3</c:v>
                </c:pt>
                <c:pt idx="46">
                  <c:v>0.23</c:v>
                </c:pt>
                <c:pt idx="47">
                  <c:v>0.15</c:v>
                </c:pt>
                <c:pt idx="48">
                  <c:v>0.60761999999999994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92-48EE-AD2B-85645EBD8FB9}"/>
            </c:ext>
          </c:extLst>
        </c:ser>
        <c:ser>
          <c:idx val="7"/>
          <c:order val="5"/>
          <c:tx>
            <c:strRef>
              <c:f>'wages for Moscow'!$J$2</c:f>
              <c:strCache>
                <c:ptCount val="1"/>
                <c:pt idx="0">
                  <c:v>carpenter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'wages for Moscow'!$B$3:$B$52</c:f>
              <c:numCache>
                <c:formatCode>General</c:formatCode>
                <c:ptCount val="4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</c:numCache>
            </c:numRef>
          </c:xVal>
          <c:yVal>
            <c:numRef>
              <c:f>'wages for Moscow'!$J$3:$J$52</c:f>
              <c:numCache>
                <c:formatCode>0.00</c:formatCode>
                <c:ptCount val="49"/>
                <c:pt idx="11">
                  <c:v>1.4545454545454545E-2</c:v>
                </c:pt>
                <c:pt idx="23">
                  <c:v>0.25</c:v>
                </c:pt>
                <c:pt idx="25">
                  <c:v>7.0000000000000007E-2</c:v>
                </c:pt>
                <c:pt idx="29">
                  <c:v>0.03</c:v>
                </c:pt>
                <c:pt idx="31">
                  <c:v>0.28833333333333333</c:v>
                </c:pt>
                <c:pt idx="32">
                  <c:v>0.18333333333333335</c:v>
                </c:pt>
                <c:pt idx="40">
                  <c:v>0.48333333333333339</c:v>
                </c:pt>
                <c:pt idx="43">
                  <c:v>0.15</c:v>
                </c:pt>
                <c:pt idx="45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92-48EE-AD2B-85645EBD8FB9}"/>
            </c:ext>
          </c:extLst>
        </c:ser>
        <c:ser>
          <c:idx val="11"/>
          <c:order val="9"/>
          <c:tx>
            <c:strRef>
              <c:f>'wages for Moscow'!$N$2</c:f>
              <c:strCache>
                <c:ptCount val="1"/>
                <c:pt idx="0">
                  <c:v>labourer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'wages for Moscow'!$B$3:$B$52</c:f>
              <c:numCache>
                <c:formatCode>General</c:formatCode>
                <c:ptCount val="4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</c:numCache>
            </c:numRef>
          </c:xVal>
          <c:yVal>
            <c:numRef>
              <c:f>'wages for Moscow'!$N$3:$N$52</c:f>
              <c:numCache>
                <c:formatCode>0.00</c:formatCode>
                <c:ptCount val="49"/>
                <c:pt idx="0">
                  <c:v>0.06</c:v>
                </c:pt>
                <c:pt idx="3">
                  <c:v>2.5000000000000001E-2</c:v>
                </c:pt>
                <c:pt idx="4">
                  <c:v>4.4999999999999998E-2</c:v>
                </c:pt>
                <c:pt idx="6">
                  <c:v>1.6E-2</c:v>
                </c:pt>
                <c:pt idx="7">
                  <c:v>0.08</c:v>
                </c:pt>
                <c:pt idx="8">
                  <c:v>1.1999999999999999E-2</c:v>
                </c:pt>
                <c:pt idx="9">
                  <c:v>1.6666666666666666E-2</c:v>
                </c:pt>
                <c:pt idx="10">
                  <c:v>5.0000000000000001E-3</c:v>
                </c:pt>
                <c:pt idx="11">
                  <c:v>1.381818181818182E-2</c:v>
                </c:pt>
                <c:pt idx="12">
                  <c:v>3.833333333333333E-2</c:v>
                </c:pt>
                <c:pt idx="13">
                  <c:v>1.6666666666666666E-2</c:v>
                </c:pt>
                <c:pt idx="14">
                  <c:v>1.3000000000000001E-2</c:v>
                </c:pt>
                <c:pt idx="17">
                  <c:v>0.02</c:v>
                </c:pt>
                <c:pt idx="20">
                  <c:v>0.04</c:v>
                </c:pt>
                <c:pt idx="21">
                  <c:v>0.11333333333333333</c:v>
                </c:pt>
                <c:pt idx="24">
                  <c:v>0.05</c:v>
                </c:pt>
                <c:pt idx="25">
                  <c:v>0.05</c:v>
                </c:pt>
                <c:pt idx="26">
                  <c:v>0.08</c:v>
                </c:pt>
                <c:pt idx="28">
                  <c:v>0.2</c:v>
                </c:pt>
                <c:pt idx="29">
                  <c:v>0.17666666666666667</c:v>
                </c:pt>
                <c:pt idx="30">
                  <c:v>0.15846874999999996</c:v>
                </c:pt>
                <c:pt idx="31">
                  <c:v>0.12999999999999998</c:v>
                </c:pt>
                <c:pt idx="32">
                  <c:v>0.14466666666666667</c:v>
                </c:pt>
                <c:pt idx="34">
                  <c:v>0.14083333333333334</c:v>
                </c:pt>
                <c:pt idx="35">
                  <c:v>0.13571428571428573</c:v>
                </c:pt>
                <c:pt idx="36">
                  <c:v>0.1</c:v>
                </c:pt>
                <c:pt idx="37">
                  <c:v>0.18333333333333335</c:v>
                </c:pt>
                <c:pt idx="38">
                  <c:v>0.14083333333333334</c:v>
                </c:pt>
                <c:pt idx="39">
                  <c:v>0.16499999999999998</c:v>
                </c:pt>
                <c:pt idx="40">
                  <c:v>0.170375</c:v>
                </c:pt>
                <c:pt idx="42">
                  <c:v>0.11166666666666665</c:v>
                </c:pt>
                <c:pt idx="43">
                  <c:v>0.25</c:v>
                </c:pt>
                <c:pt idx="45">
                  <c:v>0.25</c:v>
                </c:pt>
                <c:pt idx="47">
                  <c:v>0.1</c:v>
                </c:pt>
                <c:pt idx="48">
                  <c:v>0.22750000000000004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B92-48EE-AD2B-85645EBD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454616"/>
        <c:axId val="813456584"/>
      </c:scatterChart>
      <c:valAx>
        <c:axId val="813454616"/>
        <c:scaling>
          <c:orientation val="minMax"/>
          <c:max val="1805"/>
          <c:min val="17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56584"/>
        <c:crosses val="autoZero"/>
        <c:crossBetween val="midCat"/>
      </c:valAx>
      <c:valAx>
        <c:axId val="81345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54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RW_yearly!$B$1</c:f>
              <c:strCache>
                <c:ptCount val="1"/>
                <c:pt idx="0">
                  <c:v>Florence</c:v>
                </c:pt>
              </c:strCache>
            </c:strRef>
          </c:tx>
          <c:xVal>
            <c:numRef>
              <c:f>RW_yearly!$A$2:$A$262</c:f>
              <c:numCache>
                <c:formatCode>0</c:formatCode>
                <c:ptCount val="261"/>
                <c:pt idx="0">
                  <c:v>1600</c:v>
                </c:pt>
                <c:pt idx="1">
                  <c:v>1601</c:v>
                </c:pt>
                <c:pt idx="2">
                  <c:v>1602</c:v>
                </c:pt>
                <c:pt idx="3">
                  <c:v>1603</c:v>
                </c:pt>
                <c:pt idx="4">
                  <c:v>1604</c:v>
                </c:pt>
                <c:pt idx="5">
                  <c:v>1605</c:v>
                </c:pt>
                <c:pt idx="6">
                  <c:v>1606</c:v>
                </c:pt>
                <c:pt idx="7">
                  <c:v>1607</c:v>
                </c:pt>
                <c:pt idx="8">
                  <c:v>1608</c:v>
                </c:pt>
                <c:pt idx="9">
                  <c:v>1609</c:v>
                </c:pt>
                <c:pt idx="10">
                  <c:v>1610</c:v>
                </c:pt>
                <c:pt idx="11">
                  <c:v>1611</c:v>
                </c:pt>
                <c:pt idx="12">
                  <c:v>1612</c:v>
                </c:pt>
                <c:pt idx="13">
                  <c:v>1613</c:v>
                </c:pt>
                <c:pt idx="14">
                  <c:v>1614</c:v>
                </c:pt>
                <c:pt idx="15">
                  <c:v>1615</c:v>
                </c:pt>
                <c:pt idx="16">
                  <c:v>1616</c:v>
                </c:pt>
                <c:pt idx="17">
                  <c:v>1617</c:v>
                </c:pt>
                <c:pt idx="18">
                  <c:v>1618</c:v>
                </c:pt>
                <c:pt idx="19">
                  <c:v>1619</c:v>
                </c:pt>
                <c:pt idx="20">
                  <c:v>1620</c:v>
                </c:pt>
                <c:pt idx="21">
                  <c:v>1621</c:v>
                </c:pt>
                <c:pt idx="22">
                  <c:v>1622</c:v>
                </c:pt>
                <c:pt idx="23">
                  <c:v>1623</c:v>
                </c:pt>
                <c:pt idx="24">
                  <c:v>1624</c:v>
                </c:pt>
                <c:pt idx="25">
                  <c:v>1625</c:v>
                </c:pt>
                <c:pt idx="26">
                  <c:v>1626</c:v>
                </c:pt>
                <c:pt idx="27">
                  <c:v>1627</c:v>
                </c:pt>
                <c:pt idx="28">
                  <c:v>1628</c:v>
                </c:pt>
                <c:pt idx="29">
                  <c:v>1629</c:v>
                </c:pt>
                <c:pt idx="30">
                  <c:v>1630</c:v>
                </c:pt>
                <c:pt idx="31">
                  <c:v>1631</c:v>
                </c:pt>
                <c:pt idx="32">
                  <c:v>1632</c:v>
                </c:pt>
                <c:pt idx="33">
                  <c:v>1633</c:v>
                </c:pt>
                <c:pt idx="34">
                  <c:v>1634</c:v>
                </c:pt>
                <c:pt idx="35">
                  <c:v>1635</c:v>
                </c:pt>
                <c:pt idx="36">
                  <c:v>1636</c:v>
                </c:pt>
                <c:pt idx="37">
                  <c:v>1637</c:v>
                </c:pt>
                <c:pt idx="38">
                  <c:v>1638</c:v>
                </c:pt>
                <c:pt idx="39">
                  <c:v>1639</c:v>
                </c:pt>
                <c:pt idx="40">
                  <c:v>1640</c:v>
                </c:pt>
                <c:pt idx="41">
                  <c:v>1641</c:v>
                </c:pt>
                <c:pt idx="42">
                  <c:v>1642</c:v>
                </c:pt>
                <c:pt idx="43">
                  <c:v>1643</c:v>
                </c:pt>
                <c:pt idx="44">
                  <c:v>1644</c:v>
                </c:pt>
                <c:pt idx="45">
                  <c:v>1645</c:v>
                </c:pt>
                <c:pt idx="46">
                  <c:v>1646</c:v>
                </c:pt>
                <c:pt idx="47">
                  <c:v>1647</c:v>
                </c:pt>
                <c:pt idx="48">
                  <c:v>1648</c:v>
                </c:pt>
                <c:pt idx="49">
                  <c:v>1649</c:v>
                </c:pt>
                <c:pt idx="50">
                  <c:v>1650</c:v>
                </c:pt>
                <c:pt idx="51">
                  <c:v>1651</c:v>
                </c:pt>
                <c:pt idx="52">
                  <c:v>1652</c:v>
                </c:pt>
                <c:pt idx="53">
                  <c:v>1653</c:v>
                </c:pt>
                <c:pt idx="54">
                  <c:v>1654</c:v>
                </c:pt>
                <c:pt idx="55">
                  <c:v>1655</c:v>
                </c:pt>
                <c:pt idx="56">
                  <c:v>1656</c:v>
                </c:pt>
                <c:pt idx="57">
                  <c:v>1657</c:v>
                </c:pt>
                <c:pt idx="58">
                  <c:v>1658</c:v>
                </c:pt>
                <c:pt idx="59">
                  <c:v>1659</c:v>
                </c:pt>
                <c:pt idx="60">
                  <c:v>1660</c:v>
                </c:pt>
                <c:pt idx="61">
                  <c:v>1661</c:v>
                </c:pt>
                <c:pt idx="62">
                  <c:v>1662</c:v>
                </c:pt>
                <c:pt idx="63">
                  <c:v>1663</c:v>
                </c:pt>
                <c:pt idx="64">
                  <c:v>1664</c:v>
                </c:pt>
                <c:pt idx="65">
                  <c:v>1665</c:v>
                </c:pt>
                <c:pt idx="66">
                  <c:v>1666</c:v>
                </c:pt>
                <c:pt idx="67">
                  <c:v>1667</c:v>
                </c:pt>
                <c:pt idx="68">
                  <c:v>1668</c:v>
                </c:pt>
                <c:pt idx="69">
                  <c:v>1669</c:v>
                </c:pt>
                <c:pt idx="70">
                  <c:v>1670</c:v>
                </c:pt>
                <c:pt idx="71">
                  <c:v>1671</c:v>
                </c:pt>
                <c:pt idx="72">
                  <c:v>1672</c:v>
                </c:pt>
                <c:pt idx="73">
                  <c:v>1673</c:v>
                </c:pt>
                <c:pt idx="74">
                  <c:v>1674</c:v>
                </c:pt>
                <c:pt idx="75">
                  <c:v>1675</c:v>
                </c:pt>
                <c:pt idx="76">
                  <c:v>1676</c:v>
                </c:pt>
                <c:pt idx="77">
                  <c:v>1677</c:v>
                </c:pt>
                <c:pt idx="78">
                  <c:v>1678</c:v>
                </c:pt>
                <c:pt idx="79">
                  <c:v>1679</c:v>
                </c:pt>
                <c:pt idx="80">
                  <c:v>1680</c:v>
                </c:pt>
                <c:pt idx="81">
                  <c:v>1681</c:v>
                </c:pt>
                <c:pt idx="82">
                  <c:v>1682</c:v>
                </c:pt>
                <c:pt idx="83">
                  <c:v>1683</c:v>
                </c:pt>
                <c:pt idx="84">
                  <c:v>1684</c:v>
                </c:pt>
                <c:pt idx="85">
                  <c:v>1685</c:v>
                </c:pt>
                <c:pt idx="86">
                  <c:v>1686</c:v>
                </c:pt>
                <c:pt idx="87">
                  <c:v>1687</c:v>
                </c:pt>
                <c:pt idx="88">
                  <c:v>1688</c:v>
                </c:pt>
                <c:pt idx="89">
                  <c:v>1689</c:v>
                </c:pt>
                <c:pt idx="90">
                  <c:v>1690</c:v>
                </c:pt>
                <c:pt idx="91">
                  <c:v>1691</c:v>
                </c:pt>
                <c:pt idx="92">
                  <c:v>1692</c:v>
                </c:pt>
                <c:pt idx="93">
                  <c:v>1693</c:v>
                </c:pt>
                <c:pt idx="94">
                  <c:v>1694</c:v>
                </c:pt>
                <c:pt idx="95">
                  <c:v>1695</c:v>
                </c:pt>
                <c:pt idx="96">
                  <c:v>1696</c:v>
                </c:pt>
                <c:pt idx="97">
                  <c:v>1697</c:v>
                </c:pt>
                <c:pt idx="98">
                  <c:v>1698</c:v>
                </c:pt>
                <c:pt idx="99">
                  <c:v>1699</c:v>
                </c:pt>
                <c:pt idx="100">
                  <c:v>1700</c:v>
                </c:pt>
                <c:pt idx="101">
                  <c:v>1701</c:v>
                </c:pt>
                <c:pt idx="102">
                  <c:v>1702</c:v>
                </c:pt>
                <c:pt idx="103">
                  <c:v>1703</c:v>
                </c:pt>
                <c:pt idx="104">
                  <c:v>1704</c:v>
                </c:pt>
                <c:pt idx="105">
                  <c:v>1705</c:v>
                </c:pt>
                <c:pt idx="106">
                  <c:v>1706</c:v>
                </c:pt>
                <c:pt idx="107">
                  <c:v>1707</c:v>
                </c:pt>
                <c:pt idx="108">
                  <c:v>1708</c:v>
                </c:pt>
                <c:pt idx="109">
                  <c:v>1709</c:v>
                </c:pt>
                <c:pt idx="110">
                  <c:v>1710</c:v>
                </c:pt>
                <c:pt idx="111">
                  <c:v>1711</c:v>
                </c:pt>
                <c:pt idx="112">
                  <c:v>1712</c:v>
                </c:pt>
                <c:pt idx="113">
                  <c:v>1713</c:v>
                </c:pt>
                <c:pt idx="114">
                  <c:v>1714</c:v>
                </c:pt>
                <c:pt idx="115">
                  <c:v>1715</c:v>
                </c:pt>
                <c:pt idx="116">
                  <c:v>1716</c:v>
                </c:pt>
                <c:pt idx="117">
                  <c:v>1717</c:v>
                </c:pt>
                <c:pt idx="118">
                  <c:v>1718</c:v>
                </c:pt>
                <c:pt idx="119">
                  <c:v>1719</c:v>
                </c:pt>
                <c:pt idx="120">
                  <c:v>1720</c:v>
                </c:pt>
                <c:pt idx="121">
                  <c:v>1721</c:v>
                </c:pt>
                <c:pt idx="122">
                  <c:v>1722</c:v>
                </c:pt>
                <c:pt idx="123">
                  <c:v>1723</c:v>
                </c:pt>
                <c:pt idx="124">
                  <c:v>1724</c:v>
                </c:pt>
                <c:pt idx="125">
                  <c:v>1725</c:v>
                </c:pt>
                <c:pt idx="126">
                  <c:v>1726</c:v>
                </c:pt>
                <c:pt idx="127">
                  <c:v>1727</c:v>
                </c:pt>
                <c:pt idx="128">
                  <c:v>1728</c:v>
                </c:pt>
                <c:pt idx="129">
                  <c:v>1729</c:v>
                </c:pt>
                <c:pt idx="130">
                  <c:v>1730</c:v>
                </c:pt>
                <c:pt idx="131">
                  <c:v>1731</c:v>
                </c:pt>
                <c:pt idx="132">
                  <c:v>1732</c:v>
                </c:pt>
                <c:pt idx="133">
                  <c:v>1733</c:v>
                </c:pt>
                <c:pt idx="134">
                  <c:v>1734</c:v>
                </c:pt>
                <c:pt idx="135">
                  <c:v>1735</c:v>
                </c:pt>
                <c:pt idx="136">
                  <c:v>1736</c:v>
                </c:pt>
                <c:pt idx="137">
                  <c:v>1737</c:v>
                </c:pt>
                <c:pt idx="138">
                  <c:v>1738</c:v>
                </c:pt>
                <c:pt idx="139">
                  <c:v>1739</c:v>
                </c:pt>
                <c:pt idx="140">
                  <c:v>1740</c:v>
                </c:pt>
                <c:pt idx="141">
                  <c:v>1741</c:v>
                </c:pt>
                <c:pt idx="142">
                  <c:v>1742</c:v>
                </c:pt>
                <c:pt idx="143">
                  <c:v>1743</c:v>
                </c:pt>
                <c:pt idx="144">
                  <c:v>1744</c:v>
                </c:pt>
                <c:pt idx="145">
                  <c:v>1745</c:v>
                </c:pt>
                <c:pt idx="146">
                  <c:v>1746</c:v>
                </c:pt>
                <c:pt idx="147">
                  <c:v>1747</c:v>
                </c:pt>
                <c:pt idx="148">
                  <c:v>1748</c:v>
                </c:pt>
                <c:pt idx="149">
                  <c:v>1749</c:v>
                </c:pt>
                <c:pt idx="150">
                  <c:v>1750</c:v>
                </c:pt>
                <c:pt idx="151">
                  <c:v>1751</c:v>
                </c:pt>
                <c:pt idx="152">
                  <c:v>1752</c:v>
                </c:pt>
                <c:pt idx="153">
                  <c:v>1753</c:v>
                </c:pt>
                <c:pt idx="154">
                  <c:v>1754</c:v>
                </c:pt>
                <c:pt idx="155">
                  <c:v>1755</c:v>
                </c:pt>
                <c:pt idx="156">
                  <c:v>1756</c:v>
                </c:pt>
                <c:pt idx="157">
                  <c:v>1757</c:v>
                </c:pt>
                <c:pt idx="158">
                  <c:v>1758</c:v>
                </c:pt>
                <c:pt idx="159">
                  <c:v>1759</c:v>
                </c:pt>
                <c:pt idx="160">
                  <c:v>1760</c:v>
                </c:pt>
                <c:pt idx="161">
                  <c:v>1761</c:v>
                </c:pt>
                <c:pt idx="162">
                  <c:v>1762</c:v>
                </c:pt>
                <c:pt idx="163">
                  <c:v>1763</c:v>
                </c:pt>
                <c:pt idx="164">
                  <c:v>1764</c:v>
                </c:pt>
                <c:pt idx="165">
                  <c:v>1765</c:v>
                </c:pt>
                <c:pt idx="166">
                  <c:v>1766</c:v>
                </c:pt>
                <c:pt idx="167">
                  <c:v>1767</c:v>
                </c:pt>
                <c:pt idx="168">
                  <c:v>1768</c:v>
                </c:pt>
                <c:pt idx="169">
                  <c:v>1769</c:v>
                </c:pt>
                <c:pt idx="170">
                  <c:v>1770</c:v>
                </c:pt>
                <c:pt idx="171">
                  <c:v>1771</c:v>
                </c:pt>
                <c:pt idx="172">
                  <c:v>1772</c:v>
                </c:pt>
                <c:pt idx="173">
                  <c:v>1773</c:v>
                </c:pt>
                <c:pt idx="174">
                  <c:v>1774</c:v>
                </c:pt>
                <c:pt idx="175">
                  <c:v>1775</c:v>
                </c:pt>
                <c:pt idx="176">
                  <c:v>1776</c:v>
                </c:pt>
                <c:pt idx="177">
                  <c:v>1777</c:v>
                </c:pt>
                <c:pt idx="178">
                  <c:v>1778</c:v>
                </c:pt>
                <c:pt idx="179">
                  <c:v>1779</c:v>
                </c:pt>
                <c:pt idx="180">
                  <c:v>1780</c:v>
                </c:pt>
                <c:pt idx="181">
                  <c:v>1781</c:v>
                </c:pt>
                <c:pt idx="182">
                  <c:v>1782</c:v>
                </c:pt>
                <c:pt idx="183">
                  <c:v>1783</c:v>
                </c:pt>
                <c:pt idx="184">
                  <c:v>1784</c:v>
                </c:pt>
                <c:pt idx="185">
                  <c:v>1785</c:v>
                </c:pt>
                <c:pt idx="186">
                  <c:v>1786</c:v>
                </c:pt>
                <c:pt idx="187">
                  <c:v>1787</c:v>
                </c:pt>
                <c:pt idx="188">
                  <c:v>1788</c:v>
                </c:pt>
                <c:pt idx="189">
                  <c:v>1789</c:v>
                </c:pt>
                <c:pt idx="190">
                  <c:v>1790</c:v>
                </c:pt>
                <c:pt idx="191">
                  <c:v>1791</c:v>
                </c:pt>
                <c:pt idx="192">
                  <c:v>1792</c:v>
                </c:pt>
                <c:pt idx="193">
                  <c:v>1793</c:v>
                </c:pt>
                <c:pt idx="194">
                  <c:v>1794</c:v>
                </c:pt>
                <c:pt idx="195">
                  <c:v>1795</c:v>
                </c:pt>
                <c:pt idx="196">
                  <c:v>1796</c:v>
                </c:pt>
                <c:pt idx="197">
                  <c:v>1797</c:v>
                </c:pt>
                <c:pt idx="198">
                  <c:v>1798</c:v>
                </c:pt>
                <c:pt idx="199">
                  <c:v>1799</c:v>
                </c:pt>
                <c:pt idx="200">
                  <c:v>1800</c:v>
                </c:pt>
                <c:pt idx="201">
                  <c:v>1801</c:v>
                </c:pt>
                <c:pt idx="202">
                  <c:v>1802</c:v>
                </c:pt>
                <c:pt idx="203">
                  <c:v>1803</c:v>
                </c:pt>
                <c:pt idx="204">
                  <c:v>1804</c:v>
                </c:pt>
                <c:pt idx="205">
                  <c:v>1805</c:v>
                </c:pt>
                <c:pt idx="206">
                  <c:v>1806</c:v>
                </c:pt>
                <c:pt idx="207">
                  <c:v>1807</c:v>
                </c:pt>
                <c:pt idx="208">
                  <c:v>1808</c:v>
                </c:pt>
                <c:pt idx="209">
                  <c:v>1809</c:v>
                </c:pt>
                <c:pt idx="210">
                  <c:v>1810</c:v>
                </c:pt>
                <c:pt idx="211">
                  <c:v>1811</c:v>
                </c:pt>
                <c:pt idx="212">
                  <c:v>1812</c:v>
                </c:pt>
                <c:pt idx="213">
                  <c:v>1813</c:v>
                </c:pt>
                <c:pt idx="214">
                  <c:v>1814</c:v>
                </c:pt>
                <c:pt idx="215">
                  <c:v>1815</c:v>
                </c:pt>
                <c:pt idx="216">
                  <c:v>1816</c:v>
                </c:pt>
                <c:pt idx="217">
                  <c:v>1817</c:v>
                </c:pt>
                <c:pt idx="218">
                  <c:v>1818</c:v>
                </c:pt>
                <c:pt idx="219">
                  <c:v>1819</c:v>
                </c:pt>
                <c:pt idx="220">
                  <c:v>1820</c:v>
                </c:pt>
                <c:pt idx="221">
                  <c:v>1821</c:v>
                </c:pt>
                <c:pt idx="222">
                  <c:v>1822</c:v>
                </c:pt>
                <c:pt idx="223">
                  <c:v>1823</c:v>
                </c:pt>
                <c:pt idx="224">
                  <c:v>1824</c:v>
                </c:pt>
                <c:pt idx="225">
                  <c:v>1825</c:v>
                </c:pt>
                <c:pt idx="226">
                  <c:v>1826</c:v>
                </c:pt>
                <c:pt idx="227">
                  <c:v>1827</c:v>
                </c:pt>
                <c:pt idx="228">
                  <c:v>1828</c:v>
                </c:pt>
                <c:pt idx="229">
                  <c:v>1829</c:v>
                </c:pt>
                <c:pt idx="230">
                  <c:v>1830</c:v>
                </c:pt>
                <c:pt idx="231">
                  <c:v>1831</c:v>
                </c:pt>
                <c:pt idx="232">
                  <c:v>1832</c:v>
                </c:pt>
                <c:pt idx="233">
                  <c:v>1833</c:v>
                </c:pt>
                <c:pt idx="234">
                  <c:v>1834</c:v>
                </c:pt>
                <c:pt idx="235">
                  <c:v>1835</c:v>
                </c:pt>
                <c:pt idx="236">
                  <c:v>1836</c:v>
                </c:pt>
                <c:pt idx="237">
                  <c:v>1837</c:v>
                </c:pt>
                <c:pt idx="238">
                  <c:v>1838</c:v>
                </c:pt>
                <c:pt idx="239">
                  <c:v>1839</c:v>
                </c:pt>
                <c:pt idx="240">
                  <c:v>1840</c:v>
                </c:pt>
                <c:pt idx="241">
                  <c:v>1841</c:v>
                </c:pt>
                <c:pt idx="242">
                  <c:v>1842</c:v>
                </c:pt>
                <c:pt idx="243">
                  <c:v>1843</c:v>
                </c:pt>
                <c:pt idx="244">
                  <c:v>1844</c:v>
                </c:pt>
                <c:pt idx="245">
                  <c:v>1845</c:v>
                </c:pt>
                <c:pt idx="246">
                  <c:v>1846</c:v>
                </c:pt>
                <c:pt idx="247">
                  <c:v>1847</c:v>
                </c:pt>
                <c:pt idx="248">
                  <c:v>1848</c:v>
                </c:pt>
                <c:pt idx="249">
                  <c:v>1849</c:v>
                </c:pt>
                <c:pt idx="250">
                  <c:v>1850</c:v>
                </c:pt>
                <c:pt idx="251">
                  <c:v>1851</c:v>
                </c:pt>
                <c:pt idx="252">
                  <c:v>1852</c:v>
                </c:pt>
                <c:pt idx="253">
                  <c:v>1853</c:v>
                </c:pt>
                <c:pt idx="254">
                  <c:v>1854</c:v>
                </c:pt>
                <c:pt idx="255">
                  <c:v>1855</c:v>
                </c:pt>
                <c:pt idx="256">
                  <c:v>1856</c:v>
                </c:pt>
                <c:pt idx="257">
                  <c:v>1857</c:v>
                </c:pt>
                <c:pt idx="258">
                  <c:v>1858</c:v>
                </c:pt>
                <c:pt idx="259">
                  <c:v>1859</c:v>
                </c:pt>
                <c:pt idx="260">
                  <c:v>1860</c:v>
                </c:pt>
              </c:numCache>
            </c:numRef>
          </c:xVal>
          <c:yVal>
            <c:numRef>
              <c:f>RW_yearly!$B$2:$B$262</c:f>
              <c:numCache>
                <c:formatCode>0.00</c:formatCode>
                <c:ptCount val="261"/>
                <c:pt idx="0">
                  <c:v>0.81476706266403198</c:v>
                </c:pt>
                <c:pt idx="1">
                  <c:v>0.78327667713165283</c:v>
                </c:pt>
                <c:pt idx="2">
                  <c:v>0.72794371843338013</c:v>
                </c:pt>
                <c:pt idx="3">
                  <c:v>0.88985377550125122</c:v>
                </c:pt>
                <c:pt idx="4">
                  <c:v>0.88261556625366211</c:v>
                </c:pt>
                <c:pt idx="5">
                  <c:v>0.90201771259307861</c:v>
                </c:pt>
                <c:pt idx="6">
                  <c:v>0.71437996625900269</c:v>
                </c:pt>
                <c:pt idx="7">
                  <c:v>0.97708618640899658</c:v>
                </c:pt>
                <c:pt idx="8">
                  <c:v>0.86828082799911499</c:v>
                </c:pt>
                <c:pt idx="9">
                  <c:v>0.9866795539855957</c:v>
                </c:pt>
                <c:pt idx="10">
                  <c:v>0.97529792785644531</c:v>
                </c:pt>
                <c:pt idx="11">
                  <c:v>0.80636411905288696</c:v>
                </c:pt>
                <c:pt idx="12">
                  <c:v>1.007673978805542</c:v>
                </c:pt>
                <c:pt idx="13">
                  <c:v>1.0603983402252197</c:v>
                </c:pt>
                <c:pt idx="14">
                  <c:v>1.0914453268051147</c:v>
                </c:pt>
                <c:pt idx="15">
                  <c:v>0.82281696796417236</c:v>
                </c:pt>
                <c:pt idx="16">
                  <c:v>0.77793461084365845</c:v>
                </c:pt>
                <c:pt idx="17">
                  <c:v>0.74884605407714844</c:v>
                </c:pt>
                <c:pt idx="18">
                  <c:v>0.73508787155151367</c:v>
                </c:pt>
                <c:pt idx="19">
                  <c:v>0.74972236156463623</c:v>
                </c:pt>
                <c:pt idx="20">
                  <c:v>0.76883113384246826</c:v>
                </c:pt>
                <c:pt idx="21">
                  <c:v>0.7697676420211792</c:v>
                </c:pt>
                <c:pt idx="22">
                  <c:v>0.69328725337982178</c:v>
                </c:pt>
                <c:pt idx="23">
                  <c:v>0.7228052020072937</c:v>
                </c:pt>
                <c:pt idx="24">
                  <c:v>0.78038066625595093</c:v>
                </c:pt>
                <c:pt idx="25">
                  <c:v>0.61147201061248779</c:v>
                </c:pt>
                <c:pt idx="26">
                  <c:v>0.58249449729919434</c:v>
                </c:pt>
                <c:pt idx="27">
                  <c:v>0.74020999670028687</c:v>
                </c:pt>
                <c:pt idx="28">
                  <c:v>0.75128251314163208</c:v>
                </c:pt>
                <c:pt idx="29">
                  <c:v>0.72177261114120483</c:v>
                </c:pt>
                <c:pt idx="30">
                  <c:v>0.57608652114868164</c:v>
                </c:pt>
                <c:pt idx="31">
                  <c:v>0.68347948789596558</c:v>
                </c:pt>
                <c:pt idx="32">
                  <c:v>0.74394798278808594</c:v>
                </c:pt>
                <c:pt idx="33">
                  <c:v>0.99129575490951538</c:v>
                </c:pt>
                <c:pt idx="34">
                  <c:v>0.9710422158241272</c:v>
                </c:pt>
                <c:pt idx="35">
                  <c:v>1.160818338394165</c:v>
                </c:pt>
                <c:pt idx="36">
                  <c:v>0.76380741596221924</c:v>
                </c:pt>
                <c:pt idx="37">
                  <c:v>0.57800388336181641</c:v>
                </c:pt>
                <c:pt idx="38">
                  <c:v>0.82171887159347534</c:v>
                </c:pt>
                <c:pt idx="39">
                  <c:v>0.94188821315765381</c:v>
                </c:pt>
                <c:pt idx="40">
                  <c:v>1.0477527379989624</c:v>
                </c:pt>
                <c:pt idx="41">
                  <c:v>1.0999590158462524</c:v>
                </c:pt>
                <c:pt idx="42">
                  <c:v>0.87727802991867065</c:v>
                </c:pt>
                <c:pt idx="43">
                  <c:v>0.75586038827896118</c:v>
                </c:pt>
                <c:pt idx="44">
                  <c:v>0.72842705249786377</c:v>
                </c:pt>
                <c:pt idx="45">
                  <c:v>0.67379456758499146</c:v>
                </c:pt>
                <c:pt idx="46">
                  <c:v>0.70376449823379517</c:v>
                </c:pt>
                <c:pt idx="47">
                  <c:v>0.62451112270355225</c:v>
                </c:pt>
                <c:pt idx="48">
                  <c:v>0.61514967679977417</c:v>
                </c:pt>
                <c:pt idx="49">
                  <c:v>0.77376562356948853</c:v>
                </c:pt>
                <c:pt idx="50">
                  <c:v>0.64921581745147705</c:v>
                </c:pt>
                <c:pt idx="51">
                  <c:v>0.88286805152893066</c:v>
                </c:pt>
                <c:pt idx="52">
                  <c:v>0.94388490915298462</c:v>
                </c:pt>
                <c:pt idx="53">
                  <c:v>0.73855936527252197</c:v>
                </c:pt>
                <c:pt idx="54">
                  <c:v>0.73585444688796997</c:v>
                </c:pt>
                <c:pt idx="55">
                  <c:v>0.74123305082321167</c:v>
                </c:pt>
                <c:pt idx="56">
                  <c:v>0.75741052627563477</c:v>
                </c:pt>
                <c:pt idx="57">
                  <c:v>0.78726917505264282</c:v>
                </c:pt>
                <c:pt idx="58">
                  <c:v>0.72015851736068726</c:v>
                </c:pt>
                <c:pt idx="59">
                  <c:v>0.94547241926193237</c:v>
                </c:pt>
                <c:pt idx="60">
                  <c:v>0.87864845991134644</c:v>
                </c:pt>
                <c:pt idx="61">
                  <c:v>0.98315119743347168</c:v>
                </c:pt>
                <c:pt idx="62">
                  <c:v>0.86366665363311768</c:v>
                </c:pt>
                <c:pt idx="63">
                  <c:v>0.82821309566497803</c:v>
                </c:pt>
                <c:pt idx="64">
                  <c:v>0.84435856342315674</c:v>
                </c:pt>
                <c:pt idx="65">
                  <c:v>0.86173343658447266</c:v>
                </c:pt>
                <c:pt idx="66">
                  <c:v>1.0141494274139404</c:v>
                </c:pt>
                <c:pt idx="67">
                  <c:v>0.60320162773132324</c:v>
                </c:pt>
                <c:pt idx="68">
                  <c:v>0.96920037269592285</c:v>
                </c:pt>
                <c:pt idx="69">
                  <c:v>1.1359107494354248</c:v>
                </c:pt>
                <c:pt idx="70">
                  <c:v>1.1269791126251221</c:v>
                </c:pt>
                <c:pt idx="71">
                  <c:v>1.4532133340835571</c:v>
                </c:pt>
                <c:pt idx="72">
                  <c:v>1.3554496765136719</c:v>
                </c:pt>
                <c:pt idx="73">
                  <c:v>1.3415114879608154</c:v>
                </c:pt>
                <c:pt idx="74">
                  <c:v>1.1177858114242554</c:v>
                </c:pt>
                <c:pt idx="75">
                  <c:v>1.144834041595459</c:v>
                </c:pt>
                <c:pt idx="76">
                  <c:v>0.95078182220458984</c:v>
                </c:pt>
                <c:pt idx="77">
                  <c:v>0.68538671731948853</c:v>
                </c:pt>
                <c:pt idx="78">
                  <c:v>1.1212599277496338</c:v>
                </c:pt>
                <c:pt idx="79">
                  <c:v>0.91528302431106567</c:v>
                </c:pt>
                <c:pt idx="80">
                  <c:v>1.3164513111114502</c:v>
                </c:pt>
                <c:pt idx="81">
                  <c:v>0.90716159343719482</c:v>
                </c:pt>
                <c:pt idx="82">
                  <c:v>1.0009658336639404</c:v>
                </c:pt>
                <c:pt idx="83">
                  <c:v>1.0278666019439697</c:v>
                </c:pt>
                <c:pt idx="84">
                  <c:v>1.0498454570770264</c:v>
                </c:pt>
                <c:pt idx="85">
                  <c:v>0.91891855001449585</c:v>
                </c:pt>
                <c:pt idx="86">
                  <c:v>1.0375106334686279</c:v>
                </c:pt>
                <c:pt idx="87">
                  <c:v>1.0860791206359863</c:v>
                </c:pt>
                <c:pt idx="88">
                  <c:v>0.97375500202178955</c:v>
                </c:pt>
                <c:pt idx="89">
                  <c:v>1.0814478397369385</c:v>
                </c:pt>
                <c:pt idx="90">
                  <c:v>0.98137199878692627</c:v>
                </c:pt>
                <c:pt idx="91">
                  <c:v>0.91022980213165283</c:v>
                </c:pt>
                <c:pt idx="92">
                  <c:v>0.93103271722793579</c:v>
                </c:pt>
                <c:pt idx="93">
                  <c:v>0.86144274473190308</c:v>
                </c:pt>
                <c:pt idx="94">
                  <c:v>0.82759767770767212</c:v>
                </c:pt>
                <c:pt idx="95">
                  <c:v>0.75520294904708862</c:v>
                </c:pt>
                <c:pt idx="96">
                  <c:v>0.76213645935058594</c:v>
                </c:pt>
                <c:pt idx="97">
                  <c:v>0.72600919008255005</c:v>
                </c:pt>
                <c:pt idx="98">
                  <c:v>0.76309645175933838</c:v>
                </c:pt>
                <c:pt idx="99">
                  <c:v>0.73171991109848022</c:v>
                </c:pt>
                <c:pt idx="100">
                  <c:v>0.60571610927581787</c:v>
                </c:pt>
                <c:pt idx="101">
                  <c:v>0.71471941471099854</c:v>
                </c:pt>
                <c:pt idx="102">
                  <c:v>0.63206082582473755</c:v>
                </c:pt>
                <c:pt idx="103">
                  <c:v>0.71274638175964355</c:v>
                </c:pt>
                <c:pt idx="104">
                  <c:v>0.77752745151519775</c:v>
                </c:pt>
                <c:pt idx="105">
                  <c:v>0.90327143669128418</c:v>
                </c:pt>
                <c:pt idx="106">
                  <c:v>0.83846879005432129</c:v>
                </c:pt>
                <c:pt idx="107">
                  <c:v>0.85943436622619629</c:v>
                </c:pt>
                <c:pt idx="108">
                  <c:v>0.6615455150604248</c:v>
                </c:pt>
                <c:pt idx="109">
                  <c:v>0.49781668186187744</c:v>
                </c:pt>
                <c:pt idx="110">
                  <c:v>0.56589674949645996</c:v>
                </c:pt>
                <c:pt idx="111">
                  <c:v>0.7419624924659729</c:v>
                </c:pt>
                <c:pt idx="112">
                  <c:v>0.92914754152297974</c:v>
                </c:pt>
                <c:pt idx="113">
                  <c:v>0.63129228353500366</c:v>
                </c:pt>
                <c:pt idx="114">
                  <c:v>0.73948591947555542</c:v>
                </c:pt>
                <c:pt idx="115">
                  <c:v>0.61168950796127319</c:v>
                </c:pt>
                <c:pt idx="116">
                  <c:v>0.78202670812606812</c:v>
                </c:pt>
                <c:pt idx="117">
                  <c:v>1.0020617246627808</c:v>
                </c:pt>
                <c:pt idx="118">
                  <c:v>0.7193717360496521</c:v>
                </c:pt>
                <c:pt idx="119">
                  <c:v>0.83423095941543579</c:v>
                </c:pt>
                <c:pt idx="120">
                  <c:v>0.82954353094100952</c:v>
                </c:pt>
                <c:pt idx="121">
                  <c:v>1.0801504850387573</c:v>
                </c:pt>
                <c:pt idx="122">
                  <c:v>1.1080782413482666</c:v>
                </c:pt>
                <c:pt idx="123">
                  <c:v>1.0063420534133911</c:v>
                </c:pt>
                <c:pt idx="124">
                  <c:v>0.89821398258209229</c:v>
                </c:pt>
                <c:pt idx="125">
                  <c:v>1.0731042623519897</c:v>
                </c:pt>
                <c:pt idx="126">
                  <c:v>1.1336591243743896</c:v>
                </c:pt>
                <c:pt idx="127">
                  <c:v>0.97052723169326782</c:v>
                </c:pt>
                <c:pt idx="128">
                  <c:v>0.9004252552986145</c:v>
                </c:pt>
                <c:pt idx="129">
                  <c:v>0.82190912961959839</c:v>
                </c:pt>
                <c:pt idx="130">
                  <c:v>0.92822939157485962</c:v>
                </c:pt>
                <c:pt idx="131">
                  <c:v>0.98514813184738159</c:v>
                </c:pt>
                <c:pt idx="132">
                  <c:v>0.97181737422943115</c:v>
                </c:pt>
                <c:pt idx="133">
                  <c:v>0.89617389440536499</c:v>
                </c:pt>
                <c:pt idx="134">
                  <c:v>0.67906433343887329</c:v>
                </c:pt>
                <c:pt idx="135">
                  <c:v>0.75754636526107788</c:v>
                </c:pt>
                <c:pt idx="136">
                  <c:v>0.7732735276222229</c:v>
                </c:pt>
                <c:pt idx="137">
                  <c:v>0.82545739412307739</c:v>
                </c:pt>
                <c:pt idx="138">
                  <c:v>0.94692111015319824</c:v>
                </c:pt>
                <c:pt idx="139">
                  <c:v>0.89281010627746582</c:v>
                </c:pt>
                <c:pt idx="140">
                  <c:v>0.76907980442047119</c:v>
                </c:pt>
                <c:pt idx="141">
                  <c:v>0.73568266630172729</c:v>
                </c:pt>
                <c:pt idx="142">
                  <c:v>0.61504882574081421</c:v>
                </c:pt>
                <c:pt idx="143">
                  <c:v>0.66254580020904541</c:v>
                </c:pt>
                <c:pt idx="144">
                  <c:v>0.68033140897750854</c:v>
                </c:pt>
                <c:pt idx="145">
                  <c:v>0.70546233654022217</c:v>
                </c:pt>
                <c:pt idx="146">
                  <c:v>0.63170963525772095</c:v>
                </c:pt>
                <c:pt idx="147">
                  <c:v>0.7716362476348877</c:v>
                </c:pt>
                <c:pt idx="148">
                  <c:v>0.88227218389511108</c:v>
                </c:pt>
                <c:pt idx="149">
                  <c:v>0.71715980768203735</c:v>
                </c:pt>
                <c:pt idx="150">
                  <c:v>0.68639469146728516</c:v>
                </c:pt>
                <c:pt idx="151">
                  <c:v>0.71144753694534302</c:v>
                </c:pt>
                <c:pt idx="152">
                  <c:v>0.69060081243515015</c:v>
                </c:pt>
                <c:pt idx="153">
                  <c:v>0.75057297945022583</c:v>
                </c:pt>
                <c:pt idx="154">
                  <c:v>0.71178591251373291</c:v>
                </c:pt>
                <c:pt idx="155">
                  <c:v>0.76059412956237793</c:v>
                </c:pt>
                <c:pt idx="156">
                  <c:v>0.92575430870056152</c:v>
                </c:pt>
                <c:pt idx="157">
                  <c:v>0.74997007846832275</c:v>
                </c:pt>
                <c:pt idx="158">
                  <c:v>0.73011672496795654</c:v>
                </c:pt>
                <c:pt idx="159">
                  <c:v>0.63482385873794556</c:v>
                </c:pt>
                <c:pt idx="160">
                  <c:v>0.72657251358032227</c:v>
                </c:pt>
                <c:pt idx="161">
                  <c:v>0.86878389120101929</c:v>
                </c:pt>
                <c:pt idx="162">
                  <c:v>0.8473275899887085</c:v>
                </c:pt>
                <c:pt idx="163">
                  <c:v>0.78827935457229614</c:v>
                </c:pt>
                <c:pt idx="164">
                  <c:v>0.79051017761230469</c:v>
                </c:pt>
                <c:pt idx="165">
                  <c:v>0.79573112726211548</c:v>
                </c:pt>
                <c:pt idx="166">
                  <c:v>0.69308203458786011</c:v>
                </c:pt>
                <c:pt idx="167">
                  <c:v>0.66413587331771851</c:v>
                </c:pt>
                <c:pt idx="168">
                  <c:v>0.63175332546234131</c:v>
                </c:pt>
                <c:pt idx="169">
                  <c:v>0.63446766138076782</c:v>
                </c:pt>
                <c:pt idx="170">
                  <c:v>0.67508894205093384</c:v>
                </c:pt>
                <c:pt idx="171">
                  <c:v>0.63763386011123657</c:v>
                </c:pt>
                <c:pt idx="172">
                  <c:v>0.52948468923568726</c:v>
                </c:pt>
                <c:pt idx="173">
                  <c:v>0.55965137481689453</c:v>
                </c:pt>
                <c:pt idx="174">
                  <c:v>0.55114501714706421</c:v>
                </c:pt>
                <c:pt idx="175">
                  <c:v>0.60381072759628296</c:v>
                </c:pt>
                <c:pt idx="176">
                  <c:v>0.65951311588287354</c:v>
                </c:pt>
                <c:pt idx="177">
                  <c:v>0.50682401657104492</c:v>
                </c:pt>
                <c:pt idx="178">
                  <c:v>0.64392250776290894</c:v>
                </c:pt>
                <c:pt idx="179">
                  <c:v>0.66990792751312256</c:v>
                </c:pt>
                <c:pt idx="180">
                  <c:v>0.67159152030944824</c:v>
                </c:pt>
                <c:pt idx="181">
                  <c:v>0.64910995960235596</c:v>
                </c:pt>
                <c:pt idx="182">
                  <c:v>0.55429643392562866</c:v>
                </c:pt>
                <c:pt idx="183">
                  <c:v>0.59943509101867676</c:v>
                </c:pt>
                <c:pt idx="184">
                  <c:v>0.54459446668624878</c:v>
                </c:pt>
                <c:pt idx="185">
                  <c:v>0.60250562429428101</c:v>
                </c:pt>
                <c:pt idx="186">
                  <c:v>0.62745743989944458</c:v>
                </c:pt>
                <c:pt idx="187">
                  <c:v>0.64371681213378906</c:v>
                </c:pt>
                <c:pt idx="188">
                  <c:v>0.63678330183029175</c:v>
                </c:pt>
                <c:pt idx="189">
                  <c:v>0.65498918294906616</c:v>
                </c:pt>
                <c:pt idx="190">
                  <c:v>0.6400303840637207</c:v>
                </c:pt>
                <c:pt idx="191">
                  <c:v>0.68627762794494629</c:v>
                </c:pt>
                <c:pt idx="192">
                  <c:v>0.63710540533065796</c:v>
                </c:pt>
                <c:pt idx="193">
                  <c:v>0.57926970720291138</c:v>
                </c:pt>
                <c:pt idx="194">
                  <c:v>0.55837303400039673</c:v>
                </c:pt>
                <c:pt idx="195">
                  <c:v>0.52159124612808228</c:v>
                </c:pt>
                <c:pt idx="196">
                  <c:v>0.56107950210571289</c:v>
                </c:pt>
                <c:pt idx="197">
                  <c:v>0.64279645681381226</c:v>
                </c:pt>
                <c:pt idx="198">
                  <c:v>0.54025936126708984</c:v>
                </c:pt>
                <c:pt idx="199">
                  <c:v>0.4315534234046936</c:v>
                </c:pt>
                <c:pt idx="200">
                  <c:v>0.40140822529792786</c:v>
                </c:pt>
                <c:pt idx="201">
                  <c:v>0.41493585705757141</c:v>
                </c:pt>
                <c:pt idx="202">
                  <c:v>0.47220483422279358</c:v>
                </c:pt>
                <c:pt idx="203">
                  <c:v>0.55365675687789917</c:v>
                </c:pt>
                <c:pt idx="204">
                  <c:v>0.62155723571777344</c:v>
                </c:pt>
                <c:pt idx="205">
                  <c:v>0.58986902236938477</c:v>
                </c:pt>
                <c:pt idx="206">
                  <c:v>0.57463175058364868</c:v>
                </c:pt>
                <c:pt idx="207">
                  <c:v>0.56406712532043457</c:v>
                </c:pt>
                <c:pt idx="208">
                  <c:v>0.58594048023223877</c:v>
                </c:pt>
                <c:pt idx="209">
                  <c:v>0.62824565172195435</c:v>
                </c:pt>
                <c:pt idx="210">
                  <c:v>0.51402932405471802</c:v>
                </c:pt>
                <c:pt idx="211">
                  <c:v>0.41499587893486023</c:v>
                </c:pt>
                <c:pt idx="212">
                  <c:v>0.42570966482162476</c:v>
                </c:pt>
                <c:pt idx="213">
                  <c:v>0.47278112173080444</c:v>
                </c:pt>
                <c:pt idx="214">
                  <c:v>0.56062889099121094</c:v>
                </c:pt>
                <c:pt idx="215">
                  <c:v>0.42835515737533569</c:v>
                </c:pt>
                <c:pt idx="216">
                  <c:v>0.44645550847053528</c:v>
                </c:pt>
                <c:pt idx="217">
                  <c:v>0.46585920453071594</c:v>
                </c:pt>
                <c:pt idx="218">
                  <c:v>0.62764954566955566</c:v>
                </c:pt>
                <c:pt idx="219">
                  <c:v>0.59573096036911011</c:v>
                </c:pt>
                <c:pt idx="220">
                  <c:v>0.51646506786346436</c:v>
                </c:pt>
                <c:pt idx="221">
                  <c:v>0.59595441818237305</c:v>
                </c:pt>
                <c:pt idx="222">
                  <c:v>0.55862605571746826</c:v>
                </c:pt>
                <c:pt idx="223">
                  <c:v>0.57117772102355957</c:v>
                </c:pt>
                <c:pt idx="224">
                  <c:v>0.66139322519302368</c:v>
                </c:pt>
                <c:pt idx="225">
                  <c:v>0.64245641231536865</c:v>
                </c:pt>
                <c:pt idx="226">
                  <c:v>0.38711801171302795</c:v>
                </c:pt>
                <c:pt idx="227">
                  <c:v>0.60606223344802856</c:v>
                </c:pt>
                <c:pt idx="228">
                  <c:v>0.59386998414993286</c:v>
                </c:pt>
                <c:pt idx="229">
                  <c:v>0.62301844358444214</c:v>
                </c:pt>
                <c:pt idx="230">
                  <c:v>0.73036110401153564</c:v>
                </c:pt>
                <c:pt idx="231">
                  <c:v>0.74229121208190918</c:v>
                </c:pt>
                <c:pt idx="232">
                  <c:v>0.74165266752243042</c:v>
                </c:pt>
                <c:pt idx="233">
                  <c:v>0.76853770017623901</c:v>
                </c:pt>
                <c:pt idx="234">
                  <c:v>0.75467109680175781</c:v>
                </c:pt>
                <c:pt idx="235">
                  <c:v>0.72189408540725708</c:v>
                </c:pt>
                <c:pt idx="236">
                  <c:v>0.75749623775482178</c:v>
                </c:pt>
                <c:pt idx="237">
                  <c:v>0.69947367906570435</c:v>
                </c:pt>
                <c:pt idx="238">
                  <c:v>0.68519610166549683</c:v>
                </c:pt>
                <c:pt idx="239">
                  <c:v>0.64992827177047729</c:v>
                </c:pt>
                <c:pt idx="240">
                  <c:v>0.66942745447158813</c:v>
                </c:pt>
                <c:pt idx="241">
                  <c:v>0.71218132972717285</c:v>
                </c:pt>
                <c:pt idx="242">
                  <c:v>0.71680057048797607</c:v>
                </c:pt>
                <c:pt idx="243">
                  <c:v>0.74404036998748779</c:v>
                </c:pt>
                <c:pt idx="244">
                  <c:v>0.74608606100082397</c:v>
                </c:pt>
                <c:pt idx="245">
                  <c:v>0.8175310492515564</c:v>
                </c:pt>
                <c:pt idx="246">
                  <c:v>0.70664781332015991</c:v>
                </c:pt>
                <c:pt idx="247">
                  <c:v>0.66497915983200073</c:v>
                </c:pt>
                <c:pt idx="248">
                  <c:v>0.71516400575637817</c:v>
                </c:pt>
                <c:pt idx="249">
                  <c:v>0.78033202886581421</c:v>
                </c:pt>
                <c:pt idx="250">
                  <c:v>0.82956981658935547</c:v>
                </c:pt>
                <c:pt idx="251">
                  <c:v>0.7835383415222168</c:v>
                </c:pt>
                <c:pt idx="252">
                  <c:v>0.76103019714355469</c:v>
                </c:pt>
                <c:pt idx="253">
                  <c:v>0.63949364423751831</c:v>
                </c:pt>
                <c:pt idx="254">
                  <c:v>0.46697145700454712</c:v>
                </c:pt>
                <c:pt idx="255">
                  <c:v>0.46423622965812683</c:v>
                </c:pt>
                <c:pt idx="256">
                  <c:v>0.49624696373939514</c:v>
                </c:pt>
                <c:pt idx="257">
                  <c:v>0.53465718030929565</c:v>
                </c:pt>
                <c:pt idx="258">
                  <c:v>0.58477920293807983</c:v>
                </c:pt>
                <c:pt idx="259">
                  <c:v>0.55610674619674683</c:v>
                </c:pt>
                <c:pt idx="260">
                  <c:v>0.51647353172302246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B3-4EC8-9920-187518490F46}"/>
            </c:ext>
          </c:extLst>
        </c:ser>
        <c:ser>
          <c:idx val="1"/>
          <c:order val="1"/>
          <c:tx>
            <c:strRef>
              <c:f>RW_yearly!$C$1</c:f>
              <c:strCache>
                <c:ptCount val="1"/>
                <c:pt idx="0">
                  <c:v>Genova</c:v>
                </c:pt>
              </c:strCache>
            </c:strRef>
          </c:tx>
          <c:xVal>
            <c:numRef>
              <c:f>RW_yearly!$A$2:$A$262</c:f>
              <c:numCache>
                <c:formatCode>0</c:formatCode>
                <c:ptCount val="261"/>
                <c:pt idx="0">
                  <c:v>1600</c:v>
                </c:pt>
                <c:pt idx="1">
                  <c:v>1601</c:v>
                </c:pt>
                <c:pt idx="2">
                  <c:v>1602</c:v>
                </c:pt>
                <c:pt idx="3">
                  <c:v>1603</c:v>
                </c:pt>
                <c:pt idx="4">
                  <c:v>1604</c:v>
                </c:pt>
                <c:pt idx="5">
                  <c:v>1605</c:v>
                </c:pt>
                <c:pt idx="6">
                  <c:v>1606</c:v>
                </c:pt>
                <c:pt idx="7">
                  <c:v>1607</c:v>
                </c:pt>
                <c:pt idx="8">
                  <c:v>1608</c:v>
                </c:pt>
                <c:pt idx="9">
                  <c:v>1609</c:v>
                </c:pt>
                <c:pt idx="10">
                  <c:v>1610</c:v>
                </c:pt>
                <c:pt idx="11">
                  <c:v>1611</c:v>
                </c:pt>
                <c:pt idx="12">
                  <c:v>1612</c:v>
                </c:pt>
                <c:pt idx="13">
                  <c:v>1613</c:v>
                </c:pt>
                <c:pt idx="14">
                  <c:v>1614</c:v>
                </c:pt>
                <c:pt idx="15">
                  <c:v>1615</c:v>
                </c:pt>
                <c:pt idx="16">
                  <c:v>1616</c:v>
                </c:pt>
                <c:pt idx="17">
                  <c:v>1617</c:v>
                </c:pt>
                <c:pt idx="18">
                  <c:v>1618</c:v>
                </c:pt>
                <c:pt idx="19">
                  <c:v>1619</c:v>
                </c:pt>
                <c:pt idx="20">
                  <c:v>1620</c:v>
                </c:pt>
                <c:pt idx="21">
                  <c:v>1621</c:v>
                </c:pt>
                <c:pt idx="22">
                  <c:v>1622</c:v>
                </c:pt>
                <c:pt idx="23">
                  <c:v>1623</c:v>
                </c:pt>
                <c:pt idx="24">
                  <c:v>1624</c:v>
                </c:pt>
                <c:pt idx="25">
                  <c:v>1625</c:v>
                </c:pt>
                <c:pt idx="26">
                  <c:v>1626</c:v>
                </c:pt>
                <c:pt idx="27">
                  <c:v>1627</c:v>
                </c:pt>
                <c:pt idx="28">
                  <c:v>1628</c:v>
                </c:pt>
                <c:pt idx="29">
                  <c:v>1629</c:v>
                </c:pt>
                <c:pt idx="30">
                  <c:v>1630</c:v>
                </c:pt>
                <c:pt idx="31">
                  <c:v>1631</c:v>
                </c:pt>
                <c:pt idx="32">
                  <c:v>1632</c:v>
                </c:pt>
                <c:pt idx="33">
                  <c:v>1633</c:v>
                </c:pt>
                <c:pt idx="34">
                  <c:v>1634</c:v>
                </c:pt>
                <c:pt idx="35">
                  <c:v>1635</c:v>
                </c:pt>
                <c:pt idx="36">
                  <c:v>1636</c:v>
                </c:pt>
                <c:pt idx="37">
                  <c:v>1637</c:v>
                </c:pt>
                <c:pt idx="38">
                  <c:v>1638</c:v>
                </c:pt>
                <c:pt idx="39">
                  <c:v>1639</c:v>
                </c:pt>
                <c:pt idx="40">
                  <c:v>1640</c:v>
                </c:pt>
                <c:pt idx="41">
                  <c:v>1641</c:v>
                </c:pt>
                <c:pt idx="42">
                  <c:v>1642</c:v>
                </c:pt>
                <c:pt idx="43">
                  <c:v>1643</c:v>
                </c:pt>
                <c:pt idx="44">
                  <c:v>1644</c:v>
                </c:pt>
                <c:pt idx="45">
                  <c:v>1645</c:v>
                </c:pt>
                <c:pt idx="46">
                  <c:v>1646</c:v>
                </c:pt>
                <c:pt idx="47">
                  <c:v>1647</c:v>
                </c:pt>
                <c:pt idx="48">
                  <c:v>1648</c:v>
                </c:pt>
                <c:pt idx="49">
                  <c:v>1649</c:v>
                </c:pt>
                <c:pt idx="50">
                  <c:v>1650</c:v>
                </c:pt>
                <c:pt idx="51">
                  <c:v>1651</c:v>
                </c:pt>
                <c:pt idx="52">
                  <c:v>1652</c:v>
                </c:pt>
                <c:pt idx="53">
                  <c:v>1653</c:v>
                </c:pt>
                <c:pt idx="54">
                  <c:v>1654</c:v>
                </c:pt>
                <c:pt idx="55">
                  <c:v>1655</c:v>
                </c:pt>
                <c:pt idx="56">
                  <c:v>1656</c:v>
                </c:pt>
                <c:pt idx="57">
                  <c:v>1657</c:v>
                </c:pt>
                <c:pt idx="58">
                  <c:v>1658</c:v>
                </c:pt>
                <c:pt idx="59">
                  <c:v>1659</c:v>
                </c:pt>
                <c:pt idx="60">
                  <c:v>1660</c:v>
                </c:pt>
                <c:pt idx="61">
                  <c:v>1661</c:v>
                </c:pt>
                <c:pt idx="62">
                  <c:v>1662</c:v>
                </c:pt>
                <c:pt idx="63">
                  <c:v>1663</c:v>
                </c:pt>
                <c:pt idx="64">
                  <c:v>1664</c:v>
                </c:pt>
                <c:pt idx="65">
                  <c:v>1665</c:v>
                </c:pt>
                <c:pt idx="66">
                  <c:v>1666</c:v>
                </c:pt>
                <c:pt idx="67">
                  <c:v>1667</c:v>
                </c:pt>
                <c:pt idx="68">
                  <c:v>1668</c:v>
                </c:pt>
                <c:pt idx="69">
                  <c:v>1669</c:v>
                </c:pt>
                <c:pt idx="70">
                  <c:v>1670</c:v>
                </c:pt>
                <c:pt idx="71">
                  <c:v>1671</c:v>
                </c:pt>
                <c:pt idx="72">
                  <c:v>1672</c:v>
                </c:pt>
                <c:pt idx="73">
                  <c:v>1673</c:v>
                </c:pt>
                <c:pt idx="74">
                  <c:v>1674</c:v>
                </c:pt>
                <c:pt idx="75">
                  <c:v>1675</c:v>
                </c:pt>
                <c:pt idx="76">
                  <c:v>1676</c:v>
                </c:pt>
                <c:pt idx="77">
                  <c:v>1677</c:v>
                </c:pt>
                <c:pt idx="78">
                  <c:v>1678</c:v>
                </c:pt>
                <c:pt idx="79">
                  <c:v>1679</c:v>
                </c:pt>
                <c:pt idx="80">
                  <c:v>1680</c:v>
                </c:pt>
                <c:pt idx="81">
                  <c:v>1681</c:v>
                </c:pt>
                <c:pt idx="82">
                  <c:v>1682</c:v>
                </c:pt>
                <c:pt idx="83">
                  <c:v>1683</c:v>
                </c:pt>
                <c:pt idx="84">
                  <c:v>1684</c:v>
                </c:pt>
                <c:pt idx="85">
                  <c:v>1685</c:v>
                </c:pt>
                <c:pt idx="86">
                  <c:v>1686</c:v>
                </c:pt>
                <c:pt idx="87">
                  <c:v>1687</c:v>
                </c:pt>
                <c:pt idx="88">
                  <c:v>1688</c:v>
                </c:pt>
                <c:pt idx="89">
                  <c:v>1689</c:v>
                </c:pt>
                <c:pt idx="90">
                  <c:v>1690</c:v>
                </c:pt>
                <c:pt idx="91">
                  <c:v>1691</c:v>
                </c:pt>
                <c:pt idx="92">
                  <c:v>1692</c:v>
                </c:pt>
                <c:pt idx="93">
                  <c:v>1693</c:v>
                </c:pt>
                <c:pt idx="94">
                  <c:v>1694</c:v>
                </c:pt>
                <c:pt idx="95">
                  <c:v>1695</c:v>
                </c:pt>
                <c:pt idx="96">
                  <c:v>1696</c:v>
                </c:pt>
                <c:pt idx="97">
                  <c:v>1697</c:v>
                </c:pt>
                <c:pt idx="98">
                  <c:v>1698</c:v>
                </c:pt>
                <c:pt idx="99">
                  <c:v>1699</c:v>
                </c:pt>
                <c:pt idx="100">
                  <c:v>1700</c:v>
                </c:pt>
                <c:pt idx="101">
                  <c:v>1701</c:v>
                </c:pt>
                <c:pt idx="102">
                  <c:v>1702</c:v>
                </c:pt>
                <c:pt idx="103">
                  <c:v>1703</c:v>
                </c:pt>
                <c:pt idx="104">
                  <c:v>1704</c:v>
                </c:pt>
                <c:pt idx="105">
                  <c:v>1705</c:v>
                </c:pt>
                <c:pt idx="106">
                  <c:v>1706</c:v>
                </c:pt>
                <c:pt idx="107">
                  <c:v>1707</c:v>
                </c:pt>
                <c:pt idx="108">
                  <c:v>1708</c:v>
                </c:pt>
                <c:pt idx="109">
                  <c:v>1709</c:v>
                </c:pt>
                <c:pt idx="110">
                  <c:v>1710</c:v>
                </c:pt>
                <c:pt idx="111">
                  <c:v>1711</c:v>
                </c:pt>
                <c:pt idx="112">
                  <c:v>1712</c:v>
                </c:pt>
                <c:pt idx="113">
                  <c:v>1713</c:v>
                </c:pt>
                <c:pt idx="114">
                  <c:v>1714</c:v>
                </c:pt>
                <c:pt idx="115">
                  <c:v>1715</c:v>
                </c:pt>
                <c:pt idx="116">
                  <c:v>1716</c:v>
                </c:pt>
                <c:pt idx="117">
                  <c:v>1717</c:v>
                </c:pt>
                <c:pt idx="118">
                  <c:v>1718</c:v>
                </c:pt>
                <c:pt idx="119">
                  <c:v>1719</c:v>
                </c:pt>
                <c:pt idx="120">
                  <c:v>1720</c:v>
                </c:pt>
                <c:pt idx="121">
                  <c:v>1721</c:v>
                </c:pt>
                <c:pt idx="122">
                  <c:v>1722</c:v>
                </c:pt>
                <c:pt idx="123">
                  <c:v>1723</c:v>
                </c:pt>
                <c:pt idx="124">
                  <c:v>1724</c:v>
                </c:pt>
                <c:pt idx="125">
                  <c:v>1725</c:v>
                </c:pt>
                <c:pt idx="126">
                  <c:v>1726</c:v>
                </c:pt>
                <c:pt idx="127">
                  <c:v>1727</c:v>
                </c:pt>
                <c:pt idx="128">
                  <c:v>1728</c:v>
                </c:pt>
                <c:pt idx="129">
                  <c:v>1729</c:v>
                </c:pt>
                <c:pt idx="130">
                  <c:v>1730</c:v>
                </c:pt>
                <c:pt idx="131">
                  <c:v>1731</c:v>
                </c:pt>
                <c:pt idx="132">
                  <c:v>1732</c:v>
                </c:pt>
                <c:pt idx="133">
                  <c:v>1733</c:v>
                </c:pt>
                <c:pt idx="134">
                  <c:v>1734</c:v>
                </c:pt>
                <c:pt idx="135">
                  <c:v>1735</c:v>
                </c:pt>
                <c:pt idx="136">
                  <c:v>1736</c:v>
                </c:pt>
                <c:pt idx="137">
                  <c:v>1737</c:v>
                </c:pt>
                <c:pt idx="138">
                  <c:v>1738</c:v>
                </c:pt>
                <c:pt idx="139">
                  <c:v>1739</c:v>
                </c:pt>
                <c:pt idx="140">
                  <c:v>1740</c:v>
                </c:pt>
                <c:pt idx="141">
                  <c:v>1741</c:v>
                </c:pt>
                <c:pt idx="142">
                  <c:v>1742</c:v>
                </c:pt>
                <c:pt idx="143">
                  <c:v>1743</c:v>
                </c:pt>
                <c:pt idx="144">
                  <c:v>1744</c:v>
                </c:pt>
                <c:pt idx="145">
                  <c:v>1745</c:v>
                </c:pt>
                <c:pt idx="146">
                  <c:v>1746</c:v>
                </c:pt>
                <c:pt idx="147">
                  <c:v>1747</c:v>
                </c:pt>
                <c:pt idx="148">
                  <c:v>1748</c:v>
                </c:pt>
                <c:pt idx="149">
                  <c:v>1749</c:v>
                </c:pt>
                <c:pt idx="150">
                  <c:v>1750</c:v>
                </c:pt>
                <c:pt idx="151">
                  <c:v>1751</c:v>
                </c:pt>
                <c:pt idx="152">
                  <c:v>1752</c:v>
                </c:pt>
                <c:pt idx="153">
                  <c:v>1753</c:v>
                </c:pt>
                <c:pt idx="154">
                  <c:v>1754</c:v>
                </c:pt>
                <c:pt idx="155">
                  <c:v>1755</c:v>
                </c:pt>
                <c:pt idx="156">
                  <c:v>1756</c:v>
                </c:pt>
                <c:pt idx="157">
                  <c:v>1757</c:v>
                </c:pt>
                <c:pt idx="158">
                  <c:v>1758</c:v>
                </c:pt>
                <c:pt idx="159">
                  <c:v>1759</c:v>
                </c:pt>
                <c:pt idx="160">
                  <c:v>1760</c:v>
                </c:pt>
                <c:pt idx="161">
                  <c:v>1761</c:v>
                </c:pt>
                <c:pt idx="162">
                  <c:v>1762</c:v>
                </c:pt>
                <c:pt idx="163">
                  <c:v>1763</c:v>
                </c:pt>
                <c:pt idx="164">
                  <c:v>1764</c:v>
                </c:pt>
                <c:pt idx="165">
                  <c:v>1765</c:v>
                </c:pt>
                <c:pt idx="166">
                  <c:v>1766</c:v>
                </c:pt>
                <c:pt idx="167">
                  <c:v>1767</c:v>
                </c:pt>
                <c:pt idx="168">
                  <c:v>1768</c:v>
                </c:pt>
                <c:pt idx="169">
                  <c:v>1769</c:v>
                </c:pt>
                <c:pt idx="170">
                  <c:v>1770</c:v>
                </c:pt>
                <c:pt idx="171">
                  <c:v>1771</c:v>
                </c:pt>
                <c:pt idx="172">
                  <c:v>1772</c:v>
                </c:pt>
                <c:pt idx="173">
                  <c:v>1773</c:v>
                </c:pt>
                <c:pt idx="174">
                  <c:v>1774</c:v>
                </c:pt>
                <c:pt idx="175">
                  <c:v>1775</c:v>
                </c:pt>
                <c:pt idx="176">
                  <c:v>1776</c:v>
                </c:pt>
                <c:pt idx="177">
                  <c:v>1777</c:v>
                </c:pt>
                <c:pt idx="178">
                  <c:v>1778</c:v>
                </c:pt>
                <c:pt idx="179">
                  <c:v>1779</c:v>
                </c:pt>
                <c:pt idx="180">
                  <c:v>1780</c:v>
                </c:pt>
                <c:pt idx="181">
                  <c:v>1781</c:v>
                </c:pt>
                <c:pt idx="182">
                  <c:v>1782</c:v>
                </c:pt>
                <c:pt idx="183">
                  <c:v>1783</c:v>
                </c:pt>
                <c:pt idx="184">
                  <c:v>1784</c:v>
                </c:pt>
                <c:pt idx="185">
                  <c:v>1785</c:v>
                </c:pt>
                <c:pt idx="186">
                  <c:v>1786</c:v>
                </c:pt>
                <c:pt idx="187">
                  <c:v>1787</c:v>
                </c:pt>
                <c:pt idx="188">
                  <c:v>1788</c:v>
                </c:pt>
                <c:pt idx="189">
                  <c:v>1789</c:v>
                </c:pt>
                <c:pt idx="190">
                  <c:v>1790</c:v>
                </c:pt>
                <c:pt idx="191">
                  <c:v>1791</c:v>
                </c:pt>
                <c:pt idx="192">
                  <c:v>1792</c:v>
                </c:pt>
                <c:pt idx="193">
                  <c:v>1793</c:v>
                </c:pt>
                <c:pt idx="194">
                  <c:v>1794</c:v>
                </c:pt>
                <c:pt idx="195">
                  <c:v>1795</c:v>
                </c:pt>
                <c:pt idx="196">
                  <c:v>1796</c:v>
                </c:pt>
                <c:pt idx="197">
                  <c:v>1797</c:v>
                </c:pt>
                <c:pt idx="198">
                  <c:v>1798</c:v>
                </c:pt>
                <c:pt idx="199">
                  <c:v>1799</c:v>
                </c:pt>
                <c:pt idx="200">
                  <c:v>1800</c:v>
                </c:pt>
                <c:pt idx="201">
                  <c:v>1801</c:v>
                </c:pt>
                <c:pt idx="202">
                  <c:v>1802</c:v>
                </c:pt>
                <c:pt idx="203">
                  <c:v>1803</c:v>
                </c:pt>
                <c:pt idx="204">
                  <c:v>1804</c:v>
                </c:pt>
                <c:pt idx="205">
                  <c:v>1805</c:v>
                </c:pt>
                <c:pt idx="206">
                  <c:v>1806</c:v>
                </c:pt>
                <c:pt idx="207">
                  <c:v>1807</c:v>
                </c:pt>
                <c:pt idx="208">
                  <c:v>1808</c:v>
                </c:pt>
                <c:pt idx="209">
                  <c:v>1809</c:v>
                </c:pt>
                <c:pt idx="210">
                  <c:v>1810</c:v>
                </c:pt>
                <c:pt idx="211">
                  <c:v>1811</c:v>
                </c:pt>
                <c:pt idx="212">
                  <c:v>1812</c:v>
                </c:pt>
                <c:pt idx="213">
                  <c:v>1813</c:v>
                </c:pt>
                <c:pt idx="214">
                  <c:v>1814</c:v>
                </c:pt>
                <c:pt idx="215">
                  <c:v>1815</c:v>
                </c:pt>
                <c:pt idx="216">
                  <c:v>1816</c:v>
                </c:pt>
                <c:pt idx="217">
                  <c:v>1817</c:v>
                </c:pt>
                <c:pt idx="218">
                  <c:v>1818</c:v>
                </c:pt>
                <c:pt idx="219">
                  <c:v>1819</c:v>
                </c:pt>
                <c:pt idx="220">
                  <c:v>1820</c:v>
                </c:pt>
                <c:pt idx="221">
                  <c:v>1821</c:v>
                </c:pt>
                <c:pt idx="222">
                  <c:v>1822</c:v>
                </c:pt>
                <c:pt idx="223">
                  <c:v>1823</c:v>
                </c:pt>
                <c:pt idx="224">
                  <c:v>1824</c:v>
                </c:pt>
                <c:pt idx="225">
                  <c:v>1825</c:v>
                </c:pt>
                <c:pt idx="226">
                  <c:v>1826</c:v>
                </c:pt>
                <c:pt idx="227">
                  <c:v>1827</c:v>
                </c:pt>
                <c:pt idx="228">
                  <c:v>1828</c:v>
                </c:pt>
                <c:pt idx="229">
                  <c:v>1829</c:v>
                </c:pt>
                <c:pt idx="230">
                  <c:v>1830</c:v>
                </c:pt>
                <c:pt idx="231">
                  <c:v>1831</c:v>
                </c:pt>
                <c:pt idx="232">
                  <c:v>1832</c:v>
                </c:pt>
                <c:pt idx="233">
                  <c:v>1833</c:v>
                </c:pt>
                <c:pt idx="234">
                  <c:v>1834</c:v>
                </c:pt>
                <c:pt idx="235">
                  <c:v>1835</c:v>
                </c:pt>
                <c:pt idx="236">
                  <c:v>1836</c:v>
                </c:pt>
                <c:pt idx="237">
                  <c:v>1837</c:v>
                </c:pt>
                <c:pt idx="238">
                  <c:v>1838</c:v>
                </c:pt>
                <c:pt idx="239">
                  <c:v>1839</c:v>
                </c:pt>
                <c:pt idx="240">
                  <c:v>1840</c:v>
                </c:pt>
                <c:pt idx="241">
                  <c:v>1841</c:v>
                </c:pt>
                <c:pt idx="242">
                  <c:v>1842</c:v>
                </c:pt>
                <c:pt idx="243">
                  <c:v>1843</c:v>
                </c:pt>
                <c:pt idx="244">
                  <c:v>1844</c:v>
                </c:pt>
                <c:pt idx="245">
                  <c:v>1845</c:v>
                </c:pt>
                <c:pt idx="246">
                  <c:v>1846</c:v>
                </c:pt>
                <c:pt idx="247">
                  <c:v>1847</c:v>
                </c:pt>
                <c:pt idx="248">
                  <c:v>1848</c:v>
                </c:pt>
                <c:pt idx="249">
                  <c:v>1849</c:v>
                </c:pt>
                <c:pt idx="250">
                  <c:v>1850</c:v>
                </c:pt>
                <c:pt idx="251">
                  <c:v>1851</c:v>
                </c:pt>
                <c:pt idx="252">
                  <c:v>1852</c:v>
                </c:pt>
                <c:pt idx="253">
                  <c:v>1853</c:v>
                </c:pt>
                <c:pt idx="254">
                  <c:v>1854</c:v>
                </c:pt>
                <c:pt idx="255">
                  <c:v>1855</c:v>
                </c:pt>
                <c:pt idx="256">
                  <c:v>1856</c:v>
                </c:pt>
                <c:pt idx="257">
                  <c:v>1857</c:v>
                </c:pt>
                <c:pt idx="258">
                  <c:v>1858</c:v>
                </c:pt>
                <c:pt idx="259">
                  <c:v>1859</c:v>
                </c:pt>
                <c:pt idx="260">
                  <c:v>1860</c:v>
                </c:pt>
              </c:numCache>
            </c:numRef>
          </c:xVal>
          <c:yVal>
            <c:numRef>
              <c:f>RW_yearly!$C$2:$C$262</c:f>
              <c:numCache>
                <c:formatCode>0.00</c:formatCode>
                <c:ptCount val="261"/>
                <c:pt idx="0">
                  <c:v>0.67303991317749023</c:v>
                </c:pt>
                <c:pt idx="1">
                  <c:v>0.6096954345703125</c:v>
                </c:pt>
                <c:pt idx="2">
                  <c:v>0.6489601731300354</c:v>
                </c:pt>
                <c:pt idx="3">
                  <c:v>0.68620795011520386</c:v>
                </c:pt>
                <c:pt idx="4">
                  <c:v>0.63239604234695435</c:v>
                </c:pt>
                <c:pt idx="5">
                  <c:v>0.68875384330749512</c:v>
                </c:pt>
                <c:pt idx="6">
                  <c:v>0.54581594467163086</c:v>
                </c:pt>
                <c:pt idx="7">
                  <c:v>0.62234187126159668</c:v>
                </c:pt>
                <c:pt idx="8">
                  <c:v>0.62099218368530273</c:v>
                </c:pt>
                <c:pt idx="9">
                  <c:v>0.69916874170303345</c:v>
                </c:pt>
                <c:pt idx="10">
                  <c:v>0.76809120178222656</c:v>
                </c:pt>
                <c:pt idx="11">
                  <c:v>0.75126886367797852</c:v>
                </c:pt>
                <c:pt idx="12">
                  <c:v>0.73548334836959839</c:v>
                </c:pt>
                <c:pt idx="13">
                  <c:v>0.75094151496887207</c:v>
                </c:pt>
                <c:pt idx="14">
                  <c:v>0.76570421457290649</c:v>
                </c:pt>
                <c:pt idx="15">
                  <c:v>0.81093597412109375</c:v>
                </c:pt>
                <c:pt idx="16">
                  <c:v>0.82346737384796143</c:v>
                </c:pt>
                <c:pt idx="17">
                  <c:v>0.77272385358810425</c:v>
                </c:pt>
                <c:pt idx="18">
                  <c:v>0.68527525663375854</c:v>
                </c:pt>
                <c:pt idx="19">
                  <c:v>0.62925100326538086</c:v>
                </c:pt>
                <c:pt idx="20">
                  <c:v>0.69779121875762939</c:v>
                </c:pt>
                <c:pt idx="21">
                  <c:v>0.72192168235778809</c:v>
                </c:pt>
                <c:pt idx="22">
                  <c:v>0.60062307119369507</c:v>
                </c:pt>
                <c:pt idx="23">
                  <c:v>0.64691567420959473</c:v>
                </c:pt>
                <c:pt idx="24">
                  <c:v>0.64714705944061279</c:v>
                </c:pt>
                <c:pt idx="25">
                  <c:v>0.62574446201324463</c:v>
                </c:pt>
                <c:pt idx="26">
                  <c:v>0.57414877414703369</c:v>
                </c:pt>
                <c:pt idx="27">
                  <c:v>0.71319866180419922</c:v>
                </c:pt>
                <c:pt idx="28">
                  <c:v>0.6122136116027832</c:v>
                </c:pt>
                <c:pt idx="29">
                  <c:v>0.59091156721115112</c:v>
                </c:pt>
                <c:pt idx="30">
                  <c:v>0.53369617462158203</c:v>
                </c:pt>
                <c:pt idx="31">
                  <c:v>0.51907187700271606</c:v>
                </c:pt>
                <c:pt idx="32">
                  <c:v>0.56011295318603516</c:v>
                </c:pt>
                <c:pt idx="33">
                  <c:v>0.66716820001602173</c:v>
                </c:pt>
                <c:pt idx="34">
                  <c:v>0.81191438436508179</c:v>
                </c:pt>
                <c:pt idx="35">
                  <c:v>0.75704288482666016</c:v>
                </c:pt>
                <c:pt idx="36">
                  <c:v>0.57983183860778809</c:v>
                </c:pt>
                <c:pt idx="37">
                  <c:v>0.55821943283081055</c:v>
                </c:pt>
                <c:pt idx="38">
                  <c:v>0.67539483308792114</c:v>
                </c:pt>
                <c:pt idx="39">
                  <c:v>0.80549204349517822</c:v>
                </c:pt>
                <c:pt idx="40">
                  <c:v>0.8928687572479248</c:v>
                </c:pt>
                <c:pt idx="41">
                  <c:v>0.83966004848480225</c:v>
                </c:pt>
                <c:pt idx="42">
                  <c:v>0.9374353289604187</c:v>
                </c:pt>
                <c:pt idx="43">
                  <c:v>0.81282740831375122</c:v>
                </c:pt>
                <c:pt idx="44">
                  <c:v>0.7571103572845459</c:v>
                </c:pt>
                <c:pt idx="45">
                  <c:v>0.71583276987075806</c:v>
                </c:pt>
                <c:pt idx="46">
                  <c:v>0.83238178491592407</c:v>
                </c:pt>
                <c:pt idx="47">
                  <c:v>0.66085034608840942</c:v>
                </c:pt>
                <c:pt idx="48">
                  <c:v>0.54743903875350952</c:v>
                </c:pt>
                <c:pt idx="49">
                  <c:v>0.57014846801757813</c:v>
                </c:pt>
                <c:pt idx="50">
                  <c:v>0.59079724550247192</c:v>
                </c:pt>
                <c:pt idx="51">
                  <c:v>0.74425971508026123</c:v>
                </c:pt>
                <c:pt idx="52">
                  <c:v>0.77348822355270386</c:v>
                </c:pt>
                <c:pt idx="53">
                  <c:v>0.58738631010055542</c:v>
                </c:pt>
                <c:pt idx="54">
                  <c:v>0.5396350622177124</c:v>
                </c:pt>
                <c:pt idx="55">
                  <c:v>0.57887780666351318</c:v>
                </c:pt>
                <c:pt idx="56">
                  <c:v>0.46606239676475525</c:v>
                </c:pt>
                <c:pt idx="57">
                  <c:v>0.60824763774871826</c:v>
                </c:pt>
                <c:pt idx="58">
                  <c:v>0.83773750066757202</c:v>
                </c:pt>
                <c:pt idx="59">
                  <c:v>0.76381790637969971</c:v>
                </c:pt>
                <c:pt idx="60">
                  <c:v>0.74624961614608765</c:v>
                </c:pt>
                <c:pt idx="61">
                  <c:v>0.70591944456100464</c:v>
                </c:pt>
                <c:pt idx="62">
                  <c:v>0.68852365016937256</c:v>
                </c:pt>
                <c:pt idx="63">
                  <c:v>0.82281404733657837</c:v>
                </c:pt>
                <c:pt idx="64">
                  <c:v>0.70025134086608887</c:v>
                </c:pt>
                <c:pt idx="65">
                  <c:v>0.72684711217880249</c:v>
                </c:pt>
                <c:pt idx="66">
                  <c:v>0.76916146278381348</c:v>
                </c:pt>
                <c:pt idx="67">
                  <c:v>0.83541083335876465</c:v>
                </c:pt>
                <c:pt idx="68">
                  <c:v>0.93764173984527588</c:v>
                </c:pt>
                <c:pt idx="69">
                  <c:v>0.81629997491836548</c:v>
                </c:pt>
                <c:pt idx="70">
                  <c:v>0.9845961332321167</c:v>
                </c:pt>
                <c:pt idx="71">
                  <c:v>0.8102877140045166</c:v>
                </c:pt>
                <c:pt idx="72">
                  <c:v>0.65196466445922852</c:v>
                </c:pt>
                <c:pt idx="73">
                  <c:v>0.8074076771736145</c:v>
                </c:pt>
                <c:pt idx="74">
                  <c:v>0.69010531902313232</c:v>
                </c:pt>
                <c:pt idx="75">
                  <c:v>0.80632823705673218</c:v>
                </c:pt>
                <c:pt idx="76">
                  <c:v>0.67641347646713257</c:v>
                </c:pt>
                <c:pt idx="77">
                  <c:v>0.70860761404037476</c:v>
                </c:pt>
                <c:pt idx="78">
                  <c:v>0.53789710998535156</c:v>
                </c:pt>
                <c:pt idx="79">
                  <c:v>0.58909571170806885</c:v>
                </c:pt>
                <c:pt idx="80">
                  <c:v>0.67079079151153564</c:v>
                </c:pt>
                <c:pt idx="81">
                  <c:v>0.62655031681060791</c:v>
                </c:pt>
                <c:pt idx="82">
                  <c:v>0.72799474000930786</c:v>
                </c:pt>
                <c:pt idx="83">
                  <c:v>0.788196861743927</c:v>
                </c:pt>
                <c:pt idx="84">
                  <c:v>0.7699437141418457</c:v>
                </c:pt>
                <c:pt idx="85">
                  <c:v>0.73577207326889038</c:v>
                </c:pt>
                <c:pt idx="86">
                  <c:v>0.69448304176330566</c:v>
                </c:pt>
                <c:pt idx="87">
                  <c:v>0.71690088510513306</c:v>
                </c:pt>
                <c:pt idx="88">
                  <c:v>0.77794623374938965</c:v>
                </c:pt>
                <c:pt idx="89">
                  <c:v>0.6264878511428833</c:v>
                </c:pt>
                <c:pt idx="90">
                  <c:v>0.83019417524337769</c:v>
                </c:pt>
                <c:pt idx="91">
                  <c:v>0.68646913766860962</c:v>
                </c:pt>
                <c:pt idx="92">
                  <c:v>0.77890431880950928</c:v>
                </c:pt>
                <c:pt idx="93">
                  <c:v>0.74271166324615479</c:v>
                </c:pt>
                <c:pt idx="94">
                  <c:v>0.70146149396896362</c:v>
                </c:pt>
                <c:pt idx="95">
                  <c:v>0.70051068067550659</c:v>
                </c:pt>
                <c:pt idx="96">
                  <c:v>0.72199380397796631</c:v>
                </c:pt>
                <c:pt idx="97">
                  <c:v>0.69802439212799072</c:v>
                </c:pt>
                <c:pt idx="98">
                  <c:v>0.7149694561958313</c:v>
                </c:pt>
                <c:pt idx="99">
                  <c:v>0.70321404933929443</c:v>
                </c:pt>
                <c:pt idx="100">
                  <c:v>0.68267637491226196</c:v>
                </c:pt>
                <c:pt idx="101">
                  <c:v>0.52537739276885986</c:v>
                </c:pt>
                <c:pt idx="102">
                  <c:v>0.48836225271224976</c:v>
                </c:pt>
                <c:pt idx="103">
                  <c:v>0.53107970952987671</c:v>
                </c:pt>
                <c:pt idx="104">
                  <c:v>0.47364690899848938</c:v>
                </c:pt>
                <c:pt idx="105">
                  <c:v>0.46061059832572937</c:v>
                </c:pt>
                <c:pt idx="106">
                  <c:v>0.4808085560798645</c:v>
                </c:pt>
                <c:pt idx="107">
                  <c:v>0.44396919012069702</c:v>
                </c:pt>
                <c:pt idx="108">
                  <c:v>0.4579826295375824</c:v>
                </c:pt>
                <c:pt idx="109">
                  <c:v>0.39964953064918518</c:v>
                </c:pt>
                <c:pt idx="110">
                  <c:v>0.5040401816368103</c:v>
                </c:pt>
                <c:pt idx="111">
                  <c:v>0.56780546903610229</c:v>
                </c:pt>
                <c:pt idx="112">
                  <c:v>0.64075464010238647</c:v>
                </c:pt>
                <c:pt idx="113">
                  <c:v>0.63369405269622803</c:v>
                </c:pt>
                <c:pt idx="114">
                  <c:v>0.66275894641876221</c:v>
                </c:pt>
                <c:pt idx="115">
                  <c:v>0.64332038164138794</c:v>
                </c:pt>
                <c:pt idx="116">
                  <c:v>0.65843755006790161</c:v>
                </c:pt>
                <c:pt idx="117">
                  <c:v>0.60811686515808105</c:v>
                </c:pt>
                <c:pt idx="118">
                  <c:v>0.60004633665084839</c:v>
                </c:pt>
                <c:pt idx="119">
                  <c:v>0.62645125389099121</c:v>
                </c:pt>
                <c:pt idx="120">
                  <c:v>0.61852419376373291</c:v>
                </c:pt>
                <c:pt idx="121">
                  <c:v>0.67897522449493408</c:v>
                </c:pt>
                <c:pt idx="122">
                  <c:v>0.66506987810134888</c:v>
                </c:pt>
                <c:pt idx="123">
                  <c:v>0.66239619255065918</c:v>
                </c:pt>
                <c:pt idx="124">
                  <c:v>0.70899534225463867</c:v>
                </c:pt>
                <c:pt idx="125">
                  <c:v>0.69935095310211182</c:v>
                </c:pt>
                <c:pt idx="126">
                  <c:v>0.69888079166412354</c:v>
                </c:pt>
                <c:pt idx="127">
                  <c:v>0.71522176265716553</c:v>
                </c:pt>
                <c:pt idx="128">
                  <c:v>0.73887592554092407</c:v>
                </c:pt>
                <c:pt idx="129">
                  <c:v>0.71965271234512329</c:v>
                </c:pt>
                <c:pt idx="130">
                  <c:v>0.72891241312026978</c:v>
                </c:pt>
                <c:pt idx="131">
                  <c:v>0.69899678230285645</c:v>
                </c:pt>
                <c:pt idx="132">
                  <c:v>0.65499347448348999</c:v>
                </c:pt>
                <c:pt idx="133">
                  <c:v>0.62127113342285156</c:v>
                </c:pt>
                <c:pt idx="134">
                  <c:v>0.57065623998641968</c:v>
                </c:pt>
                <c:pt idx="135">
                  <c:v>0.62249654531478882</c:v>
                </c:pt>
                <c:pt idx="136">
                  <c:v>0.63584578037261963</c:v>
                </c:pt>
                <c:pt idx="137">
                  <c:v>0.62420982122421265</c:v>
                </c:pt>
                <c:pt idx="138">
                  <c:v>0.79054111242294312</c:v>
                </c:pt>
                <c:pt idx="139">
                  <c:v>0.80142039060592651</c:v>
                </c:pt>
                <c:pt idx="140">
                  <c:v>0.80272060632705688</c:v>
                </c:pt>
                <c:pt idx="141">
                  <c:v>0.66708534955978394</c:v>
                </c:pt>
                <c:pt idx="142">
                  <c:v>0.51500380039215088</c:v>
                </c:pt>
                <c:pt idx="143">
                  <c:v>0.59899753332138062</c:v>
                </c:pt>
                <c:pt idx="144">
                  <c:v>0.57594305276870728</c:v>
                </c:pt>
                <c:pt idx="145">
                  <c:v>0.7086712121963501</c:v>
                </c:pt>
                <c:pt idx="146">
                  <c:v>0.65993106365203857</c:v>
                </c:pt>
                <c:pt idx="147">
                  <c:v>0.54412096738815308</c:v>
                </c:pt>
                <c:pt idx="148">
                  <c:v>0.53194588422775269</c:v>
                </c:pt>
                <c:pt idx="149">
                  <c:v>0.66744345426559448</c:v>
                </c:pt>
                <c:pt idx="150">
                  <c:v>0.61537885665893555</c:v>
                </c:pt>
                <c:pt idx="151">
                  <c:v>0.59154438972473145</c:v>
                </c:pt>
                <c:pt idx="152">
                  <c:v>0.58716470003128052</c:v>
                </c:pt>
                <c:pt idx="153">
                  <c:v>0.65368282794952393</c:v>
                </c:pt>
                <c:pt idx="154">
                  <c:v>0.61321204900741577</c:v>
                </c:pt>
                <c:pt idx="155">
                  <c:v>0.62144464254379272</c:v>
                </c:pt>
                <c:pt idx="156">
                  <c:v>0.60367006063461304</c:v>
                </c:pt>
                <c:pt idx="157">
                  <c:v>0.63623088598251343</c:v>
                </c:pt>
                <c:pt idx="158">
                  <c:v>0.56556278467178345</c:v>
                </c:pt>
                <c:pt idx="159">
                  <c:v>0.5852542519569397</c:v>
                </c:pt>
                <c:pt idx="160">
                  <c:v>0.57406163215637207</c:v>
                </c:pt>
                <c:pt idx="161">
                  <c:v>0.59324491024017334</c:v>
                </c:pt>
                <c:pt idx="162">
                  <c:v>0.60665810108184814</c:v>
                </c:pt>
                <c:pt idx="163">
                  <c:v>0.57598650455474854</c:v>
                </c:pt>
                <c:pt idx="164">
                  <c:v>0.51830357313156128</c:v>
                </c:pt>
                <c:pt idx="165">
                  <c:v>0.54487025737762451</c:v>
                </c:pt>
                <c:pt idx="166">
                  <c:v>0.53797703981399536</c:v>
                </c:pt>
                <c:pt idx="167">
                  <c:v>0.46300727128982544</c:v>
                </c:pt>
                <c:pt idx="168">
                  <c:v>0.47213825583457947</c:v>
                </c:pt>
                <c:pt idx="169">
                  <c:v>0.49877315759658813</c:v>
                </c:pt>
                <c:pt idx="170">
                  <c:v>0.55644315481185913</c:v>
                </c:pt>
                <c:pt idx="171">
                  <c:v>0.58942717313766479</c:v>
                </c:pt>
                <c:pt idx="172">
                  <c:v>0.51780074834823608</c:v>
                </c:pt>
                <c:pt idx="173">
                  <c:v>0.42937853932380676</c:v>
                </c:pt>
                <c:pt idx="174">
                  <c:v>0.49908396601676941</c:v>
                </c:pt>
                <c:pt idx="175">
                  <c:v>0.4541381299495697</c:v>
                </c:pt>
                <c:pt idx="176">
                  <c:v>0.51723259687423706</c:v>
                </c:pt>
                <c:pt idx="177">
                  <c:v>0.46924009919166565</c:v>
                </c:pt>
                <c:pt idx="178">
                  <c:v>0.46279150247573853</c:v>
                </c:pt>
                <c:pt idx="179">
                  <c:v>0.48032966256141663</c:v>
                </c:pt>
                <c:pt idx="180">
                  <c:v>0.49743720889091492</c:v>
                </c:pt>
                <c:pt idx="181">
                  <c:v>0.55715018510818481</c:v>
                </c:pt>
                <c:pt idx="182">
                  <c:v>0.52563148736953735</c:v>
                </c:pt>
                <c:pt idx="183">
                  <c:v>0.50165659189224243</c:v>
                </c:pt>
                <c:pt idx="184">
                  <c:v>0.55648171901702881</c:v>
                </c:pt>
                <c:pt idx="185">
                  <c:v>0.58898591995239258</c:v>
                </c:pt>
                <c:pt idx="186">
                  <c:v>0.59703606367111206</c:v>
                </c:pt>
                <c:pt idx="187">
                  <c:v>0.59292769432067871</c:v>
                </c:pt>
                <c:pt idx="188">
                  <c:v>0.56777453422546387</c:v>
                </c:pt>
                <c:pt idx="189">
                  <c:v>0.55449646711349487</c:v>
                </c:pt>
                <c:pt idx="190">
                  <c:v>0.51932579278945923</c:v>
                </c:pt>
                <c:pt idx="191">
                  <c:v>0.42753750085830688</c:v>
                </c:pt>
                <c:pt idx="192">
                  <c:v>0.42117825150489807</c:v>
                </c:pt>
                <c:pt idx="193">
                  <c:v>0.40467372536659241</c:v>
                </c:pt>
                <c:pt idx="194">
                  <c:v>0.38464522361755371</c:v>
                </c:pt>
                <c:pt idx="195">
                  <c:v>0.3547370433807373</c:v>
                </c:pt>
                <c:pt idx="196">
                  <c:v>0.39730289578437805</c:v>
                </c:pt>
                <c:pt idx="197">
                  <c:v>0.36337998509407043</c:v>
                </c:pt>
                <c:pt idx="198">
                  <c:v>0.3276723325252533</c:v>
                </c:pt>
                <c:pt idx="199">
                  <c:v>0.33779293298721313</c:v>
                </c:pt>
                <c:pt idx="200">
                  <c:v>0.25475206971168518</c:v>
                </c:pt>
                <c:pt idx="201">
                  <c:v>0.28556627035140991</c:v>
                </c:pt>
                <c:pt idx="202">
                  <c:v>0.41986089944839478</c:v>
                </c:pt>
                <c:pt idx="203">
                  <c:v>0.4595324695110321</c:v>
                </c:pt>
                <c:pt idx="204">
                  <c:v>0.49947163462638855</c:v>
                </c:pt>
                <c:pt idx="205">
                  <c:v>0.46124753355979919</c:v>
                </c:pt>
                <c:pt idx="206">
                  <c:v>0.48520180583000183</c:v>
                </c:pt>
                <c:pt idx="207">
                  <c:v>0.51764076948165894</c:v>
                </c:pt>
                <c:pt idx="208">
                  <c:v>0.52816659212112427</c:v>
                </c:pt>
                <c:pt idx="209">
                  <c:v>0.53932398557662964</c:v>
                </c:pt>
                <c:pt idx="210">
                  <c:v>0.47703760862350464</c:v>
                </c:pt>
                <c:pt idx="211">
                  <c:v>0.42023125290870667</c:v>
                </c:pt>
                <c:pt idx="212">
                  <c:v>0.44120469689369202</c:v>
                </c:pt>
                <c:pt idx="213">
                  <c:v>0.5676039457321167</c:v>
                </c:pt>
                <c:pt idx="214">
                  <c:v>0.51899033784866333</c:v>
                </c:pt>
                <c:pt idx="215">
                  <c:v>0.54786217212677002</c:v>
                </c:pt>
                <c:pt idx="216">
                  <c:v>0.43114352226257324</c:v>
                </c:pt>
                <c:pt idx="217">
                  <c:v>0.51015257835388184</c:v>
                </c:pt>
                <c:pt idx="218">
                  <c:v>0.59141963720321655</c:v>
                </c:pt>
                <c:pt idx="219">
                  <c:v>0.73238843679428101</c:v>
                </c:pt>
                <c:pt idx="220">
                  <c:v>0.60366421937942505</c:v>
                </c:pt>
                <c:pt idx="221">
                  <c:v>0.71687948703765869</c:v>
                </c:pt>
                <c:pt idx="222">
                  <c:v>0.66056478023529053</c:v>
                </c:pt>
                <c:pt idx="223">
                  <c:v>0.74548512697219849</c:v>
                </c:pt>
                <c:pt idx="224">
                  <c:v>0.82135874032974243</c:v>
                </c:pt>
                <c:pt idx="225">
                  <c:v>0.73723644018173218</c:v>
                </c:pt>
                <c:pt idx="226">
                  <c:v>0.45240870118141174</c:v>
                </c:pt>
                <c:pt idx="227">
                  <c:v>0.77006381750106812</c:v>
                </c:pt>
                <c:pt idx="228">
                  <c:v>0.67369359731674194</c:v>
                </c:pt>
                <c:pt idx="229">
                  <c:v>0.62983989715576172</c:v>
                </c:pt>
                <c:pt idx="230">
                  <c:v>0.72941887378692627</c:v>
                </c:pt>
                <c:pt idx="231">
                  <c:v>0.73603355884552002</c:v>
                </c:pt>
                <c:pt idx="232">
                  <c:v>0.73573821783065796</c:v>
                </c:pt>
                <c:pt idx="233">
                  <c:v>0.77225357294082642</c:v>
                </c:pt>
                <c:pt idx="234">
                  <c:v>0.80812126398086548</c:v>
                </c:pt>
                <c:pt idx="235">
                  <c:v>0.79895299673080444</c:v>
                </c:pt>
                <c:pt idx="236">
                  <c:v>0.75418198108673096</c:v>
                </c:pt>
                <c:pt idx="237">
                  <c:v>0.72773343324661255</c:v>
                </c:pt>
                <c:pt idx="238">
                  <c:v>0.7027580738067627</c:v>
                </c:pt>
                <c:pt idx="239">
                  <c:v>0.69516479969024658</c:v>
                </c:pt>
                <c:pt idx="240">
                  <c:v>0.69722676277160645</c:v>
                </c:pt>
                <c:pt idx="241">
                  <c:v>0.74249207973480225</c:v>
                </c:pt>
                <c:pt idx="242">
                  <c:v>0.75968587398529053</c:v>
                </c:pt>
                <c:pt idx="243">
                  <c:v>0.76228141784667969</c:v>
                </c:pt>
                <c:pt idx="244">
                  <c:v>0.77045083045959473</c:v>
                </c:pt>
                <c:pt idx="245">
                  <c:v>0.82182770967483521</c:v>
                </c:pt>
                <c:pt idx="246">
                  <c:v>0.73155957460403442</c:v>
                </c:pt>
                <c:pt idx="247">
                  <c:v>0.73578035831451416</c:v>
                </c:pt>
                <c:pt idx="248">
                  <c:v>0.73459905385971069</c:v>
                </c:pt>
                <c:pt idx="249">
                  <c:v>0.82171130180358887</c:v>
                </c:pt>
                <c:pt idx="250">
                  <c:v>0.87831425666809082</c:v>
                </c:pt>
                <c:pt idx="251">
                  <c:v>0.60140699148178101</c:v>
                </c:pt>
                <c:pt idx="252">
                  <c:v>0.76684379577636719</c:v>
                </c:pt>
                <c:pt idx="253">
                  <c:v>0.70600235462188721</c:v>
                </c:pt>
                <c:pt idx="254">
                  <c:v>0.46817004680633545</c:v>
                </c:pt>
                <c:pt idx="255">
                  <c:v>0.54379624128341675</c:v>
                </c:pt>
                <c:pt idx="256">
                  <c:v>0.59245461225509644</c:v>
                </c:pt>
                <c:pt idx="257">
                  <c:v>0.58716565370559692</c:v>
                </c:pt>
                <c:pt idx="258">
                  <c:v>0.7641226053237915</c:v>
                </c:pt>
                <c:pt idx="259">
                  <c:v>0.78114885091781616</c:v>
                </c:pt>
                <c:pt idx="260">
                  <c:v>0.75122857093811035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B3-4EC8-9920-187518490F46}"/>
            </c:ext>
          </c:extLst>
        </c:ser>
        <c:ser>
          <c:idx val="2"/>
          <c:order val="2"/>
          <c:tx>
            <c:strRef>
              <c:f>RW_yearly!$D$1</c:f>
              <c:strCache>
                <c:ptCount val="1"/>
                <c:pt idx="0">
                  <c:v>Milan</c:v>
                </c:pt>
              </c:strCache>
            </c:strRef>
          </c:tx>
          <c:xVal>
            <c:numRef>
              <c:f>RW_yearly!$A$2:$A$262</c:f>
              <c:numCache>
                <c:formatCode>0</c:formatCode>
                <c:ptCount val="261"/>
                <c:pt idx="0">
                  <c:v>1600</c:v>
                </c:pt>
                <c:pt idx="1">
                  <c:v>1601</c:v>
                </c:pt>
                <c:pt idx="2">
                  <c:v>1602</c:v>
                </c:pt>
                <c:pt idx="3">
                  <c:v>1603</c:v>
                </c:pt>
                <c:pt idx="4">
                  <c:v>1604</c:v>
                </c:pt>
                <c:pt idx="5">
                  <c:v>1605</c:v>
                </c:pt>
                <c:pt idx="6">
                  <c:v>1606</c:v>
                </c:pt>
                <c:pt idx="7">
                  <c:v>1607</c:v>
                </c:pt>
                <c:pt idx="8">
                  <c:v>1608</c:v>
                </c:pt>
                <c:pt idx="9">
                  <c:v>1609</c:v>
                </c:pt>
                <c:pt idx="10">
                  <c:v>1610</c:v>
                </c:pt>
                <c:pt idx="11">
                  <c:v>1611</c:v>
                </c:pt>
                <c:pt idx="12">
                  <c:v>1612</c:v>
                </c:pt>
                <c:pt idx="13">
                  <c:v>1613</c:v>
                </c:pt>
                <c:pt idx="14">
                  <c:v>1614</c:v>
                </c:pt>
                <c:pt idx="15">
                  <c:v>1615</c:v>
                </c:pt>
                <c:pt idx="16">
                  <c:v>1616</c:v>
                </c:pt>
                <c:pt idx="17">
                  <c:v>1617</c:v>
                </c:pt>
                <c:pt idx="18">
                  <c:v>1618</c:v>
                </c:pt>
                <c:pt idx="19">
                  <c:v>1619</c:v>
                </c:pt>
                <c:pt idx="20">
                  <c:v>1620</c:v>
                </c:pt>
                <c:pt idx="21">
                  <c:v>1621</c:v>
                </c:pt>
                <c:pt idx="22">
                  <c:v>1622</c:v>
                </c:pt>
                <c:pt idx="23">
                  <c:v>1623</c:v>
                </c:pt>
                <c:pt idx="24">
                  <c:v>1624</c:v>
                </c:pt>
                <c:pt idx="25">
                  <c:v>1625</c:v>
                </c:pt>
                <c:pt idx="26">
                  <c:v>1626</c:v>
                </c:pt>
                <c:pt idx="27">
                  <c:v>1627</c:v>
                </c:pt>
                <c:pt idx="28">
                  <c:v>1628</c:v>
                </c:pt>
                <c:pt idx="29">
                  <c:v>1629</c:v>
                </c:pt>
                <c:pt idx="30">
                  <c:v>1630</c:v>
                </c:pt>
                <c:pt idx="31">
                  <c:v>1631</c:v>
                </c:pt>
                <c:pt idx="32">
                  <c:v>1632</c:v>
                </c:pt>
                <c:pt idx="33">
                  <c:v>1633</c:v>
                </c:pt>
                <c:pt idx="34">
                  <c:v>1634</c:v>
                </c:pt>
                <c:pt idx="35">
                  <c:v>1635</c:v>
                </c:pt>
                <c:pt idx="36">
                  <c:v>1636</c:v>
                </c:pt>
                <c:pt idx="37">
                  <c:v>1637</c:v>
                </c:pt>
                <c:pt idx="38">
                  <c:v>1638</c:v>
                </c:pt>
                <c:pt idx="39">
                  <c:v>1639</c:v>
                </c:pt>
                <c:pt idx="40">
                  <c:v>1640</c:v>
                </c:pt>
                <c:pt idx="41">
                  <c:v>1641</c:v>
                </c:pt>
                <c:pt idx="42">
                  <c:v>1642</c:v>
                </c:pt>
                <c:pt idx="43">
                  <c:v>1643</c:v>
                </c:pt>
                <c:pt idx="44">
                  <c:v>1644</c:v>
                </c:pt>
                <c:pt idx="45">
                  <c:v>1645</c:v>
                </c:pt>
                <c:pt idx="46">
                  <c:v>1646</c:v>
                </c:pt>
                <c:pt idx="47">
                  <c:v>1647</c:v>
                </c:pt>
                <c:pt idx="48">
                  <c:v>1648</c:v>
                </c:pt>
                <c:pt idx="49">
                  <c:v>1649</c:v>
                </c:pt>
                <c:pt idx="50">
                  <c:v>1650</c:v>
                </c:pt>
                <c:pt idx="51">
                  <c:v>1651</c:v>
                </c:pt>
                <c:pt idx="52">
                  <c:v>1652</c:v>
                </c:pt>
                <c:pt idx="53">
                  <c:v>1653</c:v>
                </c:pt>
                <c:pt idx="54">
                  <c:v>1654</c:v>
                </c:pt>
                <c:pt idx="55">
                  <c:v>1655</c:v>
                </c:pt>
                <c:pt idx="56">
                  <c:v>1656</c:v>
                </c:pt>
                <c:pt idx="57">
                  <c:v>1657</c:v>
                </c:pt>
                <c:pt idx="58">
                  <c:v>1658</c:v>
                </c:pt>
                <c:pt idx="59">
                  <c:v>1659</c:v>
                </c:pt>
                <c:pt idx="60">
                  <c:v>1660</c:v>
                </c:pt>
                <c:pt idx="61">
                  <c:v>1661</c:v>
                </c:pt>
                <c:pt idx="62">
                  <c:v>1662</c:v>
                </c:pt>
                <c:pt idx="63">
                  <c:v>1663</c:v>
                </c:pt>
                <c:pt idx="64">
                  <c:v>1664</c:v>
                </c:pt>
                <c:pt idx="65">
                  <c:v>1665</c:v>
                </c:pt>
                <c:pt idx="66">
                  <c:v>1666</c:v>
                </c:pt>
                <c:pt idx="67">
                  <c:v>1667</c:v>
                </c:pt>
                <c:pt idx="68">
                  <c:v>1668</c:v>
                </c:pt>
                <c:pt idx="69">
                  <c:v>1669</c:v>
                </c:pt>
                <c:pt idx="70">
                  <c:v>1670</c:v>
                </c:pt>
                <c:pt idx="71">
                  <c:v>1671</c:v>
                </c:pt>
                <c:pt idx="72">
                  <c:v>1672</c:v>
                </c:pt>
                <c:pt idx="73">
                  <c:v>1673</c:v>
                </c:pt>
                <c:pt idx="74">
                  <c:v>1674</c:v>
                </c:pt>
                <c:pt idx="75">
                  <c:v>1675</c:v>
                </c:pt>
                <c:pt idx="76">
                  <c:v>1676</c:v>
                </c:pt>
                <c:pt idx="77">
                  <c:v>1677</c:v>
                </c:pt>
                <c:pt idx="78">
                  <c:v>1678</c:v>
                </c:pt>
                <c:pt idx="79">
                  <c:v>1679</c:v>
                </c:pt>
                <c:pt idx="80">
                  <c:v>1680</c:v>
                </c:pt>
                <c:pt idx="81">
                  <c:v>1681</c:v>
                </c:pt>
                <c:pt idx="82">
                  <c:v>1682</c:v>
                </c:pt>
                <c:pt idx="83">
                  <c:v>1683</c:v>
                </c:pt>
                <c:pt idx="84">
                  <c:v>1684</c:v>
                </c:pt>
                <c:pt idx="85">
                  <c:v>1685</c:v>
                </c:pt>
                <c:pt idx="86">
                  <c:v>1686</c:v>
                </c:pt>
                <c:pt idx="87">
                  <c:v>1687</c:v>
                </c:pt>
                <c:pt idx="88">
                  <c:v>1688</c:v>
                </c:pt>
                <c:pt idx="89">
                  <c:v>1689</c:v>
                </c:pt>
                <c:pt idx="90">
                  <c:v>1690</c:v>
                </c:pt>
                <c:pt idx="91">
                  <c:v>1691</c:v>
                </c:pt>
                <c:pt idx="92">
                  <c:v>1692</c:v>
                </c:pt>
                <c:pt idx="93">
                  <c:v>1693</c:v>
                </c:pt>
                <c:pt idx="94">
                  <c:v>1694</c:v>
                </c:pt>
                <c:pt idx="95">
                  <c:v>1695</c:v>
                </c:pt>
                <c:pt idx="96">
                  <c:v>1696</c:v>
                </c:pt>
                <c:pt idx="97">
                  <c:v>1697</c:v>
                </c:pt>
                <c:pt idx="98">
                  <c:v>1698</c:v>
                </c:pt>
                <c:pt idx="99">
                  <c:v>1699</c:v>
                </c:pt>
                <c:pt idx="100">
                  <c:v>1700</c:v>
                </c:pt>
                <c:pt idx="101">
                  <c:v>1701</c:v>
                </c:pt>
                <c:pt idx="102">
                  <c:v>1702</c:v>
                </c:pt>
                <c:pt idx="103">
                  <c:v>1703</c:v>
                </c:pt>
                <c:pt idx="104">
                  <c:v>1704</c:v>
                </c:pt>
                <c:pt idx="105">
                  <c:v>1705</c:v>
                </c:pt>
                <c:pt idx="106">
                  <c:v>1706</c:v>
                </c:pt>
                <c:pt idx="107">
                  <c:v>1707</c:v>
                </c:pt>
                <c:pt idx="108">
                  <c:v>1708</c:v>
                </c:pt>
                <c:pt idx="109">
                  <c:v>1709</c:v>
                </c:pt>
                <c:pt idx="110">
                  <c:v>1710</c:v>
                </c:pt>
                <c:pt idx="111">
                  <c:v>1711</c:v>
                </c:pt>
                <c:pt idx="112">
                  <c:v>1712</c:v>
                </c:pt>
                <c:pt idx="113">
                  <c:v>1713</c:v>
                </c:pt>
                <c:pt idx="114">
                  <c:v>1714</c:v>
                </c:pt>
                <c:pt idx="115">
                  <c:v>1715</c:v>
                </c:pt>
                <c:pt idx="116">
                  <c:v>1716</c:v>
                </c:pt>
                <c:pt idx="117">
                  <c:v>1717</c:v>
                </c:pt>
                <c:pt idx="118">
                  <c:v>1718</c:v>
                </c:pt>
                <c:pt idx="119">
                  <c:v>1719</c:v>
                </c:pt>
                <c:pt idx="120">
                  <c:v>1720</c:v>
                </c:pt>
                <c:pt idx="121">
                  <c:v>1721</c:v>
                </c:pt>
                <c:pt idx="122">
                  <c:v>1722</c:v>
                </c:pt>
                <c:pt idx="123">
                  <c:v>1723</c:v>
                </c:pt>
                <c:pt idx="124">
                  <c:v>1724</c:v>
                </c:pt>
                <c:pt idx="125">
                  <c:v>1725</c:v>
                </c:pt>
                <c:pt idx="126">
                  <c:v>1726</c:v>
                </c:pt>
                <c:pt idx="127">
                  <c:v>1727</c:v>
                </c:pt>
                <c:pt idx="128">
                  <c:v>1728</c:v>
                </c:pt>
                <c:pt idx="129">
                  <c:v>1729</c:v>
                </c:pt>
                <c:pt idx="130">
                  <c:v>1730</c:v>
                </c:pt>
                <c:pt idx="131">
                  <c:v>1731</c:v>
                </c:pt>
                <c:pt idx="132">
                  <c:v>1732</c:v>
                </c:pt>
                <c:pt idx="133">
                  <c:v>1733</c:v>
                </c:pt>
                <c:pt idx="134">
                  <c:v>1734</c:v>
                </c:pt>
                <c:pt idx="135">
                  <c:v>1735</c:v>
                </c:pt>
                <c:pt idx="136">
                  <c:v>1736</c:v>
                </c:pt>
                <c:pt idx="137">
                  <c:v>1737</c:v>
                </c:pt>
                <c:pt idx="138">
                  <c:v>1738</c:v>
                </c:pt>
                <c:pt idx="139">
                  <c:v>1739</c:v>
                </c:pt>
                <c:pt idx="140">
                  <c:v>1740</c:v>
                </c:pt>
                <c:pt idx="141">
                  <c:v>1741</c:v>
                </c:pt>
                <c:pt idx="142">
                  <c:v>1742</c:v>
                </c:pt>
                <c:pt idx="143">
                  <c:v>1743</c:v>
                </c:pt>
                <c:pt idx="144">
                  <c:v>1744</c:v>
                </c:pt>
                <c:pt idx="145">
                  <c:v>1745</c:v>
                </c:pt>
                <c:pt idx="146">
                  <c:v>1746</c:v>
                </c:pt>
                <c:pt idx="147">
                  <c:v>1747</c:v>
                </c:pt>
                <c:pt idx="148">
                  <c:v>1748</c:v>
                </c:pt>
                <c:pt idx="149">
                  <c:v>1749</c:v>
                </c:pt>
                <c:pt idx="150">
                  <c:v>1750</c:v>
                </c:pt>
                <c:pt idx="151">
                  <c:v>1751</c:v>
                </c:pt>
                <c:pt idx="152">
                  <c:v>1752</c:v>
                </c:pt>
                <c:pt idx="153">
                  <c:v>1753</c:v>
                </c:pt>
                <c:pt idx="154">
                  <c:v>1754</c:v>
                </c:pt>
                <c:pt idx="155">
                  <c:v>1755</c:v>
                </c:pt>
                <c:pt idx="156">
                  <c:v>1756</c:v>
                </c:pt>
                <c:pt idx="157">
                  <c:v>1757</c:v>
                </c:pt>
                <c:pt idx="158">
                  <c:v>1758</c:v>
                </c:pt>
                <c:pt idx="159">
                  <c:v>1759</c:v>
                </c:pt>
                <c:pt idx="160">
                  <c:v>1760</c:v>
                </c:pt>
                <c:pt idx="161">
                  <c:v>1761</c:v>
                </c:pt>
                <c:pt idx="162">
                  <c:v>1762</c:v>
                </c:pt>
                <c:pt idx="163">
                  <c:v>1763</c:v>
                </c:pt>
                <c:pt idx="164">
                  <c:v>1764</c:v>
                </c:pt>
                <c:pt idx="165">
                  <c:v>1765</c:v>
                </c:pt>
                <c:pt idx="166">
                  <c:v>1766</c:v>
                </c:pt>
                <c:pt idx="167">
                  <c:v>1767</c:v>
                </c:pt>
                <c:pt idx="168">
                  <c:v>1768</c:v>
                </c:pt>
                <c:pt idx="169">
                  <c:v>1769</c:v>
                </c:pt>
                <c:pt idx="170">
                  <c:v>1770</c:v>
                </c:pt>
                <c:pt idx="171">
                  <c:v>1771</c:v>
                </c:pt>
                <c:pt idx="172">
                  <c:v>1772</c:v>
                </c:pt>
                <c:pt idx="173">
                  <c:v>1773</c:v>
                </c:pt>
                <c:pt idx="174">
                  <c:v>1774</c:v>
                </c:pt>
                <c:pt idx="175">
                  <c:v>1775</c:v>
                </c:pt>
                <c:pt idx="176">
                  <c:v>1776</c:v>
                </c:pt>
                <c:pt idx="177">
                  <c:v>1777</c:v>
                </c:pt>
                <c:pt idx="178">
                  <c:v>1778</c:v>
                </c:pt>
                <c:pt idx="179">
                  <c:v>1779</c:v>
                </c:pt>
                <c:pt idx="180">
                  <c:v>1780</c:v>
                </c:pt>
                <c:pt idx="181">
                  <c:v>1781</c:v>
                </c:pt>
                <c:pt idx="182">
                  <c:v>1782</c:v>
                </c:pt>
                <c:pt idx="183">
                  <c:v>1783</c:v>
                </c:pt>
                <c:pt idx="184">
                  <c:v>1784</c:v>
                </c:pt>
                <c:pt idx="185">
                  <c:v>1785</c:v>
                </c:pt>
                <c:pt idx="186">
                  <c:v>1786</c:v>
                </c:pt>
                <c:pt idx="187">
                  <c:v>1787</c:v>
                </c:pt>
                <c:pt idx="188">
                  <c:v>1788</c:v>
                </c:pt>
                <c:pt idx="189">
                  <c:v>1789</c:v>
                </c:pt>
                <c:pt idx="190">
                  <c:v>1790</c:v>
                </c:pt>
                <c:pt idx="191">
                  <c:v>1791</c:v>
                </c:pt>
                <c:pt idx="192">
                  <c:v>1792</c:v>
                </c:pt>
                <c:pt idx="193">
                  <c:v>1793</c:v>
                </c:pt>
                <c:pt idx="194">
                  <c:v>1794</c:v>
                </c:pt>
                <c:pt idx="195">
                  <c:v>1795</c:v>
                </c:pt>
                <c:pt idx="196">
                  <c:v>1796</c:v>
                </c:pt>
                <c:pt idx="197">
                  <c:v>1797</c:v>
                </c:pt>
                <c:pt idx="198">
                  <c:v>1798</c:v>
                </c:pt>
                <c:pt idx="199">
                  <c:v>1799</c:v>
                </c:pt>
                <c:pt idx="200">
                  <c:v>1800</c:v>
                </c:pt>
                <c:pt idx="201">
                  <c:v>1801</c:v>
                </c:pt>
                <c:pt idx="202">
                  <c:v>1802</c:v>
                </c:pt>
                <c:pt idx="203">
                  <c:v>1803</c:v>
                </c:pt>
                <c:pt idx="204">
                  <c:v>1804</c:v>
                </c:pt>
                <c:pt idx="205">
                  <c:v>1805</c:v>
                </c:pt>
                <c:pt idx="206">
                  <c:v>1806</c:v>
                </c:pt>
                <c:pt idx="207">
                  <c:v>1807</c:v>
                </c:pt>
                <c:pt idx="208">
                  <c:v>1808</c:v>
                </c:pt>
                <c:pt idx="209">
                  <c:v>1809</c:v>
                </c:pt>
                <c:pt idx="210">
                  <c:v>1810</c:v>
                </c:pt>
                <c:pt idx="211">
                  <c:v>1811</c:v>
                </c:pt>
                <c:pt idx="212">
                  <c:v>1812</c:v>
                </c:pt>
                <c:pt idx="213">
                  <c:v>1813</c:v>
                </c:pt>
                <c:pt idx="214">
                  <c:v>1814</c:v>
                </c:pt>
                <c:pt idx="215">
                  <c:v>1815</c:v>
                </c:pt>
                <c:pt idx="216">
                  <c:v>1816</c:v>
                </c:pt>
                <c:pt idx="217">
                  <c:v>1817</c:v>
                </c:pt>
                <c:pt idx="218">
                  <c:v>1818</c:v>
                </c:pt>
                <c:pt idx="219">
                  <c:v>1819</c:v>
                </c:pt>
                <c:pt idx="220">
                  <c:v>1820</c:v>
                </c:pt>
                <c:pt idx="221">
                  <c:v>1821</c:v>
                </c:pt>
                <c:pt idx="222">
                  <c:v>1822</c:v>
                </c:pt>
                <c:pt idx="223">
                  <c:v>1823</c:v>
                </c:pt>
                <c:pt idx="224">
                  <c:v>1824</c:v>
                </c:pt>
                <c:pt idx="225">
                  <c:v>1825</c:v>
                </c:pt>
                <c:pt idx="226">
                  <c:v>1826</c:v>
                </c:pt>
                <c:pt idx="227">
                  <c:v>1827</c:v>
                </c:pt>
                <c:pt idx="228">
                  <c:v>1828</c:v>
                </c:pt>
                <c:pt idx="229">
                  <c:v>1829</c:v>
                </c:pt>
                <c:pt idx="230">
                  <c:v>1830</c:v>
                </c:pt>
                <c:pt idx="231">
                  <c:v>1831</c:v>
                </c:pt>
                <c:pt idx="232">
                  <c:v>1832</c:v>
                </c:pt>
                <c:pt idx="233">
                  <c:v>1833</c:v>
                </c:pt>
                <c:pt idx="234">
                  <c:v>1834</c:v>
                </c:pt>
                <c:pt idx="235">
                  <c:v>1835</c:v>
                </c:pt>
                <c:pt idx="236">
                  <c:v>1836</c:v>
                </c:pt>
                <c:pt idx="237">
                  <c:v>1837</c:v>
                </c:pt>
                <c:pt idx="238">
                  <c:v>1838</c:v>
                </c:pt>
                <c:pt idx="239">
                  <c:v>1839</c:v>
                </c:pt>
                <c:pt idx="240">
                  <c:v>1840</c:v>
                </c:pt>
                <c:pt idx="241">
                  <c:v>1841</c:v>
                </c:pt>
                <c:pt idx="242">
                  <c:v>1842</c:v>
                </c:pt>
                <c:pt idx="243">
                  <c:v>1843</c:v>
                </c:pt>
                <c:pt idx="244">
                  <c:v>1844</c:v>
                </c:pt>
                <c:pt idx="245">
                  <c:v>1845</c:v>
                </c:pt>
                <c:pt idx="246">
                  <c:v>1846</c:v>
                </c:pt>
                <c:pt idx="247">
                  <c:v>1847</c:v>
                </c:pt>
                <c:pt idx="248">
                  <c:v>1848</c:v>
                </c:pt>
                <c:pt idx="249">
                  <c:v>1849</c:v>
                </c:pt>
                <c:pt idx="250">
                  <c:v>1850</c:v>
                </c:pt>
                <c:pt idx="251">
                  <c:v>1851</c:v>
                </c:pt>
                <c:pt idx="252">
                  <c:v>1852</c:v>
                </c:pt>
                <c:pt idx="253">
                  <c:v>1853</c:v>
                </c:pt>
                <c:pt idx="254">
                  <c:v>1854</c:v>
                </c:pt>
                <c:pt idx="255">
                  <c:v>1855</c:v>
                </c:pt>
                <c:pt idx="256">
                  <c:v>1856</c:v>
                </c:pt>
                <c:pt idx="257">
                  <c:v>1857</c:v>
                </c:pt>
                <c:pt idx="258">
                  <c:v>1858</c:v>
                </c:pt>
                <c:pt idx="259">
                  <c:v>1859</c:v>
                </c:pt>
                <c:pt idx="260">
                  <c:v>1860</c:v>
                </c:pt>
              </c:numCache>
            </c:numRef>
          </c:xVal>
          <c:yVal>
            <c:numRef>
              <c:f>RW_yearly!$D$2:$D$262</c:f>
              <c:numCache>
                <c:formatCode>0.00</c:formatCode>
                <c:ptCount val="261"/>
                <c:pt idx="0">
                  <c:v>0.60225874185562134</c:v>
                </c:pt>
                <c:pt idx="1">
                  <c:v>0.786518394947052</c:v>
                </c:pt>
                <c:pt idx="2">
                  <c:v>0.74168193340301514</c:v>
                </c:pt>
                <c:pt idx="3">
                  <c:v>0.80091452598571777</c:v>
                </c:pt>
                <c:pt idx="4">
                  <c:v>0.88725161552429199</c:v>
                </c:pt>
                <c:pt idx="5">
                  <c:v>1.095605731010437</c:v>
                </c:pt>
                <c:pt idx="6">
                  <c:v>0.9839470386505127</c:v>
                </c:pt>
                <c:pt idx="7">
                  <c:v>0.90470588207244873</c:v>
                </c:pt>
                <c:pt idx="8">
                  <c:v>0.83038294315338135</c:v>
                </c:pt>
                <c:pt idx="9">
                  <c:v>0.77962416410446167</c:v>
                </c:pt>
                <c:pt idx="10">
                  <c:v>0.91026604175567627</c:v>
                </c:pt>
                <c:pt idx="11">
                  <c:v>0.79771780967712402</c:v>
                </c:pt>
                <c:pt idx="12">
                  <c:v>0.86518579721450806</c:v>
                </c:pt>
                <c:pt idx="13">
                  <c:v>0.87038010358810425</c:v>
                </c:pt>
                <c:pt idx="14">
                  <c:v>0.77009505033493042</c:v>
                </c:pt>
                <c:pt idx="15">
                  <c:v>0.79033809900283813</c:v>
                </c:pt>
                <c:pt idx="16">
                  <c:v>0.89846384525299072</c:v>
                </c:pt>
                <c:pt idx="17">
                  <c:v>0.76736944913864136</c:v>
                </c:pt>
                <c:pt idx="18">
                  <c:v>0.67807507514953613</c:v>
                </c:pt>
                <c:pt idx="19">
                  <c:v>0.76467633247375488</c:v>
                </c:pt>
                <c:pt idx="20">
                  <c:v>0.7444797158241272</c:v>
                </c:pt>
                <c:pt idx="21">
                  <c:v>0.77087026834487915</c:v>
                </c:pt>
                <c:pt idx="22">
                  <c:v>0.84464085102081299</c:v>
                </c:pt>
                <c:pt idx="23">
                  <c:v>0.92964017391204834</c:v>
                </c:pt>
                <c:pt idx="24">
                  <c:v>0.76479434967041016</c:v>
                </c:pt>
                <c:pt idx="25">
                  <c:v>0.72205710411071777</c:v>
                </c:pt>
                <c:pt idx="26">
                  <c:v>0.75347840785980225</c:v>
                </c:pt>
                <c:pt idx="27">
                  <c:v>0.79054290056228638</c:v>
                </c:pt>
                <c:pt idx="28">
                  <c:v>0.80743980407714844</c:v>
                </c:pt>
                <c:pt idx="29">
                  <c:v>0.63580930233001709</c:v>
                </c:pt>
                <c:pt idx="30">
                  <c:v>0.75296783447265625</c:v>
                </c:pt>
                <c:pt idx="31">
                  <c:v>0.84762203693389893</c:v>
                </c:pt>
                <c:pt idx="32">
                  <c:v>0.88050550222396851</c:v>
                </c:pt>
                <c:pt idx="33">
                  <c:v>0.92955750226974487</c:v>
                </c:pt>
                <c:pt idx="34">
                  <c:v>0.9679597020149231</c:v>
                </c:pt>
                <c:pt idx="35">
                  <c:v>0.93898487091064453</c:v>
                </c:pt>
                <c:pt idx="36">
                  <c:v>0.6656419038772583</c:v>
                </c:pt>
                <c:pt idx="37">
                  <c:v>0.79590177536010742</c:v>
                </c:pt>
                <c:pt idx="38">
                  <c:v>0.8292316198348999</c:v>
                </c:pt>
                <c:pt idx="39">
                  <c:v>0.81234216690063477</c:v>
                </c:pt>
                <c:pt idx="40">
                  <c:v>0.78955578804016113</c:v>
                </c:pt>
                <c:pt idx="41">
                  <c:v>0.77948743104934692</c:v>
                </c:pt>
                <c:pt idx="42">
                  <c:v>0.8657844066619873</c:v>
                </c:pt>
                <c:pt idx="43">
                  <c:v>0.88194936513900757</c:v>
                </c:pt>
                <c:pt idx="44">
                  <c:v>0.80991059541702271</c:v>
                </c:pt>
                <c:pt idx="45">
                  <c:v>0.93786895275115967</c:v>
                </c:pt>
                <c:pt idx="46">
                  <c:v>0.85851079225540161</c:v>
                </c:pt>
                <c:pt idx="47">
                  <c:v>0.80197799205780029</c:v>
                </c:pt>
                <c:pt idx="48">
                  <c:v>0.70031309127807617</c:v>
                </c:pt>
                <c:pt idx="49">
                  <c:v>0.85517019033432007</c:v>
                </c:pt>
                <c:pt idx="50">
                  <c:v>0.70984393358230591</c:v>
                </c:pt>
                <c:pt idx="51">
                  <c:v>0.80506443977355957</c:v>
                </c:pt>
                <c:pt idx="52">
                  <c:v>0.75141382217407227</c:v>
                </c:pt>
                <c:pt idx="53">
                  <c:v>0.76807570457458496</c:v>
                </c:pt>
                <c:pt idx="54">
                  <c:v>0.69668138027191162</c:v>
                </c:pt>
                <c:pt idx="55">
                  <c:v>0.87287604808807373</c:v>
                </c:pt>
                <c:pt idx="56">
                  <c:v>0.91656559705734253</c:v>
                </c:pt>
                <c:pt idx="57">
                  <c:v>0.9175536036491394</c:v>
                </c:pt>
                <c:pt idx="58">
                  <c:v>0.8405226469039917</c:v>
                </c:pt>
                <c:pt idx="59">
                  <c:v>0.80368155241012573</c:v>
                </c:pt>
                <c:pt idx="60">
                  <c:v>0.84437358379364014</c:v>
                </c:pt>
                <c:pt idx="61">
                  <c:v>0.80561083555221558</c:v>
                </c:pt>
                <c:pt idx="62">
                  <c:v>0.91351205110549927</c:v>
                </c:pt>
                <c:pt idx="63">
                  <c:v>0.99882471561431885</c:v>
                </c:pt>
                <c:pt idx="64">
                  <c:v>0.80514299869537354</c:v>
                </c:pt>
                <c:pt idx="65">
                  <c:v>0.81289118528366089</c:v>
                </c:pt>
                <c:pt idx="66">
                  <c:v>0.89050114154815674</c:v>
                </c:pt>
                <c:pt idx="67">
                  <c:v>0.87996900081634521</c:v>
                </c:pt>
                <c:pt idx="68">
                  <c:v>0.98881888389587402</c:v>
                </c:pt>
                <c:pt idx="69">
                  <c:v>0.94982117414474487</c:v>
                </c:pt>
                <c:pt idx="70">
                  <c:v>0.93712002038955688</c:v>
                </c:pt>
                <c:pt idx="71">
                  <c:v>0.94462031126022339</c:v>
                </c:pt>
                <c:pt idx="72">
                  <c:v>0.87395024299621582</c:v>
                </c:pt>
                <c:pt idx="73">
                  <c:v>0.95502263307571411</c:v>
                </c:pt>
                <c:pt idx="74">
                  <c:v>0.81962621212005615</c:v>
                </c:pt>
                <c:pt idx="75">
                  <c:v>0.6938546895980835</c:v>
                </c:pt>
                <c:pt idx="76">
                  <c:v>0.79079174995422363</c:v>
                </c:pt>
                <c:pt idx="77">
                  <c:v>0.81442219018936157</c:v>
                </c:pt>
                <c:pt idx="78">
                  <c:v>0.70547932386398315</c:v>
                </c:pt>
                <c:pt idx="79">
                  <c:v>0.74365484714508057</c:v>
                </c:pt>
                <c:pt idx="80">
                  <c:v>0.93382370471954346</c:v>
                </c:pt>
                <c:pt idx="81">
                  <c:v>0.82301938533782959</c:v>
                </c:pt>
                <c:pt idx="82">
                  <c:v>0.86276108026504517</c:v>
                </c:pt>
                <c:pt idx="83">
                  <c:v>0.83295559883117676</c:v>
                </c:pt>
                <c:pt idx="84">
                  <c:v>0.99246048927307129</c:v>
                </c:pt>
                <c:pt idx="85">
                  <c:v>0.81883758306503296</c:v>
                </c:pt>
                <c:pt idx="86">
                  <c:v>0.84710747003555298</c:v>
                </c:pt>
                <c:pt idx="87">
                  <c:v>0.83803266286849976</c:v>
                </c:pt>
                <c:pt idx="88">
                  <c:v>0.89961683750152588</c:v>
                </c:pt>
                <c:pt idx="89">
                  <c:v>1.0025837421417236</c:v>
                </c:pt>
                <c:pt idx="90">
                  <c:v>0.94121736288070679</c:v>
                </c:pt>
                <c:pt idx="91">
                  <c:v>0.58349877595901489</c:v>
                </c:pt>
                <c:pt idx="92">
                  <c:v>0.87920200824737549</c:v>
                </c:pt>
                <c:pt idx="93">
                  <c:v>0.82410067319869995</c:v>
                </c:pt>
                <c:pt idx="94">
                  <c:v>0.8039129376411438</c:v>
                </c:pt>
                <c:pt idx="95">
                  <c:v>0.7103431224822998</c:v>
                </c:pt>
                <c:pt idx="96">
                  <c:v>0.6764339804649353</c:v>
                </c:pt>
                <c:pt idx="97">
                  <c:v>0.7043004035949707</c:v>
                </c:pt>
                <c:pt idx="98">
                  <c:v>0.78668540716171265</c:v>
                </c:pt>
                <c:pt idx="99">
                  <c:v>0.84109348058700562</c:v>
                </c:pt>
                <c:pt idx="100">
                  <c:v>0.83816784620285034</c:v>
                </c:pt>
                <c:pt idx="101">
                  <c:v>0.86153876781463623</c:v>
                </c:pt>
                <c:pt idx="102">
                  <c:v>0.81438374519348145</c:v>
                </c:pt>
                <c:pt idx="103">
                  <c:v>0.85578256845474243</c:v>
                </c:pt>
                <c:pt idx="104">
                  <c:v>0.85426449775695801</c:v>
                </c:pt>
                <c:pt idx="105">
                  <c:v>0.84562373161315918</c:v>
                </c:pt>
                <c:pt idx="106">
                  <c:v>0.80504751205444336</c:v>
                </c:pt>
                <c:pt idx="107">
                  <c:v>0.75214320421218872</c:v>
                </c:pt>
                <c:pt idx="108">
                  <c:v>0.75800085067749023</c:v>
                </c:pt>
                <c:pt idx="109">
                  <c:v>0.65406274795532227</c:v>
                </c:pt>
                <c:pt idx="110">
                  <c:v>0.68142795562744141</c:v>
                </c:pt>
                <c:pt idx="111">
                  <c:v>0.78731364011764526</c:v>
                </c:pt>
                <c:pt idx="112">
                  <c:v>0.85656523704528809</c:v>
                </c:pt>
                <c:pt idx="113">
                  <c:v>0.79833585023880005</c:v>
                </c:pt>
                <c:pt idx="114">
                  <c:v>0.7627374529838562</c:v>
                </c:pt>
                <c:pt idx="115">
                  <c:v>0.7209746241569519</c:v>
                </c:pt>
                <c:pt idx="116">
                  <c:v>0.765220046043396</c:v>
                </c:pt>
                <c:pt idx="117">
                  <c:v>0.8060041069984436</c:v>
                </c:pt>
                <c:pt idx="118">
                  <c:v>0.80305188894271851</c:v>
                </c:pt>
                <c:pt idx="119">
                  <c:v>0.84768718481063843</c:v>
                </c:pt>
                <c:pt idx="120">
                  <c:v>0.90553629398345947</c:v>
                </c:pt>
                <c:pt idx="121">
                  <c:v>0.95965397357940674</c:v>
                </c:pt>
                <c:pt idx="122">
                  <c:v>0.91934329271316528</c:v>
                </c:pt>
                <c:pt idx="123">
                  <c:v>1.0044800043106079</c:v>
                </c:pt>
                <c:pt idx="124">
                  <c:v>1.0726503133773804</c:v>
                </c:pt>
                <c:pt idx="125">
                  <c:v>0.95618104934692383</c:v>
                </c:pt>
                <c:pt idx="126">
                  <c:v>0.94006425142288208</c:v>
                </c:pt>
                <c:pt idx="127">
                  <c:v>0.95597720146179199</c:v>
                </c:pt>
                <c:pt idx="128">
                  <c:v>1.0755022764205933</c:v>
                </c:pt>
                <c:pt idx="129">
                  <c:v>1.0617750883102417</c:v>
                </c:pt>
                <c:pt idx="130">
                  <c:v>1.087343692779541</c:v>
                </c:pt>
                <c:pt idx="131">
                  <c:v>0.96149784326553345</c:v>
                </c:pt>
                <c:pt idx="132">
                  <c:v>0.98853617906570435</c:v>
                </c:pt>
                <c:pt idx="133">
                  <c:v>0.8280566930770874</c:v>
                </c:pt>
                <c:pt idx="134">
                  <c:v>0.73103940486907959</c:v>
                </c:pt>
                <c:pt idx="135">
                  <c:v>0.78706121444702148</c:v>
                </c:pt>
                <c:pt idx="136">
                  <c:v>0.8212895393371582</c:v>
                </c:pt>
                <c:pt idx="137">
                  <c:v>0.94182807207107544</c:v>
                </c:pt>
                <c:pt idx="138">
                  <c:v>0.89196079969406128</c:v>
                </c:pt>
                <c:pt idx="139">
                  <c:v>0.85426622629165649</c:v>
                </c:pt>
                <c:pt idx="140">
                  <c:v>0.78569304943084717</c:v>
                </c:pt>
                <c:pt idx="141">
                  <c:v>0.76462799310684204</c:v>
                </c:pt>
                <c:pt idx="142">
                  <c:v>0.83250373601913452</c:v>
                </c:pt>
                <c:pt idx="143">
                  <c:v>0.81641072034835815</c:v>
                </c:pt>
                <c:pt idx="144">
                  <c:v>0.85649150609970093</c:v>
                </c:pt>
                <c:pt idx="145">
                  <c:v>0.96474230289459229</c:v>
                </c:pt>
                <c:pt idx="146">
                  <c:v>0.73137253522872925</c:v>
                </c:pt>
                <c:pt idx="147">
                  <c:v>0.61976915597915649</c:v>
                </c:pt>
                <c:pt idx="148">
                  <c:v>0.6570281982421875</c:v>
                </c:pt>
                <c:pt idx="149">
                  <c:v>0.73520183563232422</c:v>
                </c:pt>
                <c:pt idx="150">
                  <c:v>0.66676920652389526</c:v>
                </c:pt>
                <c:pt idx="151">
                  <c:v>0.60805761814117432</c:v>
                </c:pt>
                <c:pt idx="152">
                  <c:v>0.65511959791183472</c:v>
                </c:pt>
                <c:pt idx="153">
                  <c:v>0.83693194389343262</c:v>
                </c:pt>
                <c:pt idx="154">
                  <c:v>0.85182309150695801</c:v>
                </c:pt>
                <c:pt idx="155">
                  <c:v>0.74518048763275146</c:v>
                </c:pt>
                <c:pt idx="156">
                  <c:v>0.7122684121131897</c:v>
                </c:pt>
                <c:pt idx="157">
                  <c:v>0.82187217473983765</c:v>
                </c:pt>
                <c:pt idx="158">
                  <c:v>0.78074109554290771</c:v>
                </c:pt>
                <c:pt idx="159">
                  <c:v>0.69490557909011841</c:v>
                </c:pt>
                <c:pt idx="160">
                  <c:v>0.79114001989364624</c:v>
                </c:pt>
                <c:pt idx="161">
                  <c:v>0.84307283163070679</c:v>
                </c:pt>
                <c:pt idx="162">
                  <c:v>0.87465929985046387</c:v>
                </c:pt>
                <c:pt idx="163">
                  <c:v>0.81886136531829834</c:v>
                </c:pt>
                <c:pt idx="164">
                  <c:v>0.7023005485534668</c:v>
                </c:pt>
                <c:pt idx="165">
                  <c:v>0.72131603956222534</c:v>
                </c:pt>
                <c:pt idx="166">
                  <c:v>0.71222877502441406</c:v>
                </c:pt>
                <c:pt idx="167">
                  <c:v>0.6272127628326416</c:v>
                </c:pt>
                <c:pt idx="168">
                  <c:v>0.68255424499511719</c:v>
                </c:pt>
                <c:pt idx="169">
                  <c:v>0.74646210670471191</c:v>
                </c:pt>
                <c:pt idx="170">
                  <c:v>0.66176682710647583</c:v>
                </c:pt>
                <c:pt idx="171">
                  <c:v>0.67151284217834473</c:v>
                </c:pt>
                <c:pt idx="172">
                  <c:v>0.59661060571670532</c:v>
                </c:pt>
                <c:pt idx="173">
                  <c:v>0.54765689373016357</c:v>
                </c:pt>
                <c:pt idx="174">
                  <c:v>0.5491141676902771</c:v>
                </c:pt>
                <c:pt idx="175">
                  <c:v>0.46635410189628601</c:v>
                </c:pt>
                <c:pt idx="176">
                  <c:v>0.61846309900283813</c:v>
                </c:pt>
                <c:pt idx="177">
                  <c:v>0.56740975379943848</c:v>
                </c:pt>
                <c:pt idx="178">
                  <c:v>0.49140715599060059</c:v>
                </c:pt>
                <c:pt idx="179">
                  <c:v>0.51803332567214966</c:v>
                </c:pt>
                <c:pt idx="180">
                  <c:v>0.62080782651901245</c:v>
                </c:pt>
                <c:pt idx="181">
                  <c:v>0.54460316896438599</c:v>
                </c:pt>
                <c:pt idx="182">
                  <c:v>0.47888222336769104</c:v>
                </c:pt>
                <c:pt idx="183">
                  <c:v>0.46068564057350159</c:v>
                </c:pt>
                <c:pt idx="184">
                  <c:v>0.56868094205856323</c:v>
                </c:pt>
                <c:pt idx="185">
                  <c:v>0.50585645437240601</c:v>
                </c:pt>
                <c:pt idx="186">
                  <c:v>0.57228147983551025</c:v>
                </c:pt>
                <c:pt idx="187">
                  <c:v>0.56372809410095215</c:v>
                </c:pt>
                <c:pt idx="188">
                  <c:v>0.57973331212997437</c:v>
                </c:pt>
                <c:pt idx="189">
                  <c:v>0.53637635707855225</c:v>
                </c:pt>
                <c:pt idx="190">
                  <c:v>0.5970073938369751</c:v>
                </c:pt>
                <c:pt idx="191">
                  <c:v>0.57129186391830444</c:v>
                </c:pt>
                <c:pt idx="192">
                  <c:v>0.55655890703201294</c:v>
                </c:pt>
                <c:pt idx="193">
                  <c:v>0.47389551997184753</c:v>
                </c:pt>
                <c:pt idx="194">
                  <c:v>0.43491065502166748</c:v>
                </c:pt>
                <c:pt idx="195">
                  <c:v>0.43069958686828613</c:v>
                </c:pt>
                <c:pt idx="196">
                  <c:v>0.44270676374435425</c:v>
                </c:pt>
                <c:pt idx="197">
                  <c:v>0.39194247126579285</c:v>
                </c:pt>
                <c:pt idx="198">
                  <c:v>0.38137906789779663</c:v>
                </c:pt>
                <c:pt idx="199">
                  <c:v>0.36412426829338074</c:v>
                </c:pt>
                <c:pt idx="200">
                  <c:v>0.24772442877292633</c:v>
                </c:pt>
                <c:pt idx="201">
                  <c:v>0.26140481233596802</c:v>
                </c:pt>
                <c:pt idx="202">
                  <c:v>0.43848216533660889</c:v>
                </c:pt>
                <c:pt idx="203">
                  <c:v>0.4686393141746521</c:v>
                </c:pt>
                <c:pt idx="204">
                  <c:v>0.56393152475357056</c:v>
                </c:pt>
                <c:pt idx="205">
                  <c:v>0.5568397045135498</c:v>
                </c:pt>
                <c:pt idx="206">
                  <c:v>0.52399605512619019</c:v>
                </c:pt>
                <c:pt idx="207">
                  <c:v>0.52996832132339478</c:v>
                </c:pt>
                <c:pt idx="208">
                  <c:v>0.52657634019851685</c:v>
                </c:pt>
                <c:pt idx="209">
                  <c:v>0.54169631004333496</c:v>
                </c:pt>
                <c:pt idx="210">
                  <c:v>0.44820860028266907</c:v>
                </c:pt>
                <c:pt idx="211">
                  <c:v>0.38611286878585815</c:v>
                </c:pt>
                <c:pt idx="212">
                  <c:v>0.42484104633331299</c:v>
                </c:pt>
                <c:pt idx="213">
                  <c:v>0.60202819108963013</c:v>
                </c:pt>
                <c:pt idx="214">
                  <c:v>0.58669638633728027</c:v>
                </c:pt>
                <c:pt idx="215">
                  <c:v>0.3787263035774231</c:v>
                </c:pt>
                <c:pt idx="216">
                  <c:v>0.3426419198513031</c:v>
                </c:pt>
                <c:pt idx="217">
                  <c:v>0.34333464503288269</c:v>
                </c:pt>
                <c:pt idx="218">
                  <c:v>0.49775627255439758</c:v>
                </c:pt>
                <c:pt idx="219">
                  <c:v>0.7312512993812561</c:v>
                </c:pt>
                <c:pt idx="220">
                  <c:v>0.70072662830352783</c:v>
                </c:pt>
                <c:pt idx="221">
                  <c:v>0.65166640281677246</c:v>
                </c:pt>
                <c:pt idx="222">
                  <c:v>0.70703035593032837</c:v>
                </c:pt>
                <c:pt idx="223">
                  <c:v>0.72030097246170044</c:v>
                </c:pt>
                <c:pt idx="224">
                  <c:v>0.77862149477005005</c:v>
                </c:pt>
                <c:pt idx="225">
                  <c:v>0.74039584398269653</c:v>
                </c:pt>
                <c:pt idx="226">
                  <c:v>0.7988283634185791</c:v>
                </c:pt>
                <c:pt idx="227">
                  <c:v>0.75817447900772095</c:v>
                </c:pt>
                <c:pt idx="228">
                  <c:v>0.66021168231964111</c:v>
                </c:pt>
                <c:pt idx="229">
                  <c:v>0.63876235485076904</c:v>
                </c:pt>
                <c:pt idx="230">
                  <c:v>0.70359396934509277</c:v>
                </c:pt>
                <c:pt idx="231">
                  <c:v>0.64602816104888916</c:v>
                </c:pt>
                <c:pt idx="232">
                  <c:v>0.68444442749023438</c:v>
                </c:pt>
                <c:pt idx="233">
                  <c:v>0.68714237213134766</c:v>
                </c:pt>
                <c:pt idx="234">
                  <c:v>0.72432100772857666</c:v>
                </c:pt>
                <c:pt idx="235">
                  <c:v>0.71535569429397583</c:v>
                </c:pt>
                <c:pt idx="236">
                  <c:v>0.61598265171051025</c:v>
                </c:pt>
                <c:pt idx="237">
                  <c:v>0.55046159029006958</c:v>
                </c:pt>
                <c:pt idx="238">
                  <c:v>0.59615564346313477</c:v>
                </c:pt>
                <c:pt idx="239">
                  <c:v>0.56076216697692871</c:v>
                </c:pt>
                <c:pt idx="240">
                  <c:v>0.54603809118270874</c:v>
                </c:pt>
                <c:pt idx="241">
                  <c:v>0.63493877649307251</c:v>
                </c:pt>
                <c:pt idx="242">
                  <c:v>0.64202010631561279</c:v>
                </c:pt>
                <c:pt idx="243">
                  <c:v>0.60804325342178345</c:v>
                </c:pt>
                <c:pt idx="244">
                  <c:v>0.59863990545272827</c:v>
                </c:pt>
                <c:pt idx="245">
                  <c:v>0.62044739723205566</c:v>
                </c:pt>
                <c:pt idx="246">
                  <c:v>0.59757465124130249</c:v>
                </c:pt>
                <c:pt idx="247">
                  <c:v>0.53822368383407593</c:v>
                </c:pt>
                <c:pt idx="248">
                  <c:v>0.62006622552871704</c:v>
                </c:pt>
                <c:pt idx="249">
                  <c:v>0.62946075201034546</c:v>
                </c:pt>
                <c:pt idx="250">
                  <c:v>0.64370298385620117</c:v>
                </c:pt>
                <c:pt idx="251">
                  <c:v>0.63896381855010986</c:v>
                </c:pt>
                <c:pt idx="252">
                  <c:v>0.59900099039077759</c:v>
                </c:pt>
                <c:pt idx="253">
                  <c:v>0.53095716238021851</c:v>
                </c:pt>
                <c:pt idx="254">
                  <c:v>0.40873757004737854</c:v>
                </c:pt>
                <c:pt idx="255">
                  <c:v>0.44325205683708191</c:v>
                </c:pt>
                <c:pt idx="256">
                  <c:v>0.45974579453468323</c:v>
                </c:pt>
                <c:pt idx="257">
                  <c:v>0.50480818748474121</c:v>
                </c:pt>
                <c:pt idx="258">
                  <c:v>0.5809255838394165</c:v>
                </c:pt>
                <c:pt idx="259">
                  <c:v>0.66903012990951538</c:v>
                </c:pt>
                <c:pt idx="260">
                  <c:v>0.54940235614776611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B3-4EC8-9920-187518490F46}"/>
            </c:ext>
          </c:extLst>
        </c:ser>
        <c:ser>
          <c:idx val="3"/>
          <c:order val="3"/>
          <c:tx>
            <c:strRef>
              <c:f>RW_yearly!$E$1</c:f>
              <c:strCache>
                <c:ptCount val="1"/>
                <c:pt idx="0">
                  <c:v>Venice</c:v>
                </c:pt>
              </c:strCache>
            </c:strRef>
          </c:tx>
          <c:xVal>
            <c:numRef>
              <c:f>RW_yearly!$A$2:$A$262</c:f>
              <c:numCache>
                <c:formatCode>0</c:formatCode>
                <c:ptCount val="261"/>
                <c:pt idx="0">
                  <c:v>1600</c:v>
                </c:pt>
                <c:pt idx="1">
                  <c:v>1601</c:v>
                </c:pt>
                <c:pt idx="2">
                  <c:v>1602</c:v>
                </c:pt>
                <c:pt idx="3">
                  <c:v>1603</c:v>
                </c:pt>
                <c:pt idx="4">
                  <c:v>1604</c:v>
                </c:pt>
                <c:pt idx="5">
                  <c:v>1605</c:v>
                </c:pt>
                <c:pt idx="6">
                  <c:v>1606</c:v>
                </c:pt>
                <c:pt idx="7">
                  <c:v>1607</c:v>
                </c:pt>
                <c:pt idx="8">
                  <c:v>1608</c:v>
                </c:pt>
                <c:pt idx="9">
                  <c:v>1609</c:v>
                </c:pt>
                <c:pt idx="10">
                  <c:v>1610</c:v>
                </c:pt>
                <c:pt idx="11">
                  <c:v>1611</c:v>
                </c:pt>
                <c:pt idx="12">
                  <c:v>1612</c:v>
                </c:pt>
                <c:pt idx="13">
                  <c:v>1613</c:v>
                </c:pt>
                <c:pt idx="14">
                  <c:v>1614</c:v>
                </c:pt>
                <c:pt idx="15">
                  <c:v>1615</c:v>
                </c:pt>
                <c:pt idx="16">
                  <c:v>1616</c:v>
                </c:pt>
                <c:pt idx="17">
                  <c:v>1617</c:v>
                </c:pt>
                <c:pt idx="18">
                  <c:v>1618</c:v>
                </c:pt>
                <c:pt idx="19">
                  <c:v>1619</c:v>
                </c:pt>
                <c:pt idx="20">
                  <c:v>1620</c:v>
                </c:pt>
                <c:pt idx="21">
                  <c:v>1621</c:v>
                </c:pt>
                <c:pt idx="22">
                  <c:v>1622</c:v>
                </c:pt>
                <c:pt idx="23">
                  <c:v>1623</c:v>
                </c:pt>
                <c:pt idx="24">
                  <c:v>1624</c:v>
                </c:pt>
                <c:pt idx="25">
                  <c:v>1625</c:v>
                </c:pt>
                <c:pt idx="26">
                  <c:v>1626</c:v>
                </c:pt>
                <c:pt idx="27">
                  <c:v>1627</c:v>
                </c:pt>
                <c:pt idx="28">
                  <c:v>1628</c:v>
                </c:pt>
                <c:pt idx="29">
                  <c:v>1629</c:v>
                </c:pt>
                <c:pt idx="30">
                  <c:v>1630</c:v>
                </c:pt>
                <c:pt idx="31">
                  <c:v>1631</c:v>
                </c:pt>
                <c:pt idx="32">
                  <c:v>1632</c:v>
                </c:pt>
                <c:pt idx="33">
                  <c:v>1633</c:v>
                </c:pt>
                <c:pt idx="34">
                  <c:v>1634</c:v>
                </c:pt>
                <c:pt idx="35">
                  <c:v>1635</c:v>
                </c:pt>
                <c:pt idx="36">
                  <c:v>1636</c:v>
                </c:pt>
                <c:pt idx="37">
                  <c:v>1637</c:v>
                </c:pt>
                <c:pt idx="38">
                  <c:v>1638</c:v>
                </c:pt>
                <c:pt idx="39">
                  <c:v>1639</c:v>
                </c:pt>
                <c:pt idx="40">
                  <c:v>1640</c:v>
                </c:pt>
                <c:pt idx="41">
                  <c:v>1641</c:v>
                </c:pt>
                <c:pt idx="42">
                  <c:v>1642</c:v>
                </c:pt>
                <c:pt idx="43">
                  <c:v>1643</c:v>
                </c:pt>
                <c:pt idx="44">
                  <c:v>1644</c:v>
                </c:pt>
                <c:pt idx="45">
                  <c:v>1645</c:v>
                </c:pt>
                <c:pt idx="46">
                  <c:v>1646</c:v>
                </c:pt>
                <c:pt idx="47">
                  <c:v>1647</c:v>
                </c:pt>
                <c:pt idx="48">
                  <c:v>1648</c:v>
                </c:pt>
                <c:pt idx="49">
                  <c:v>1649</c:v>
                </c:pt>
                <c:pt idx="50">
                  <c:v>1650</c:v>
                </c:pt>
                <c:pt idx="51">
                  <c:v>1651</c:v>
                </c:pt>
                <c:pt idx="52">
                  <c:v>1652</c:v>
                </c:pt>
                <c:pt idx="53">
                  <c:v>1653</c:v>
                </c:pt>
                <c:pt idx="54">
                  <c:v>1654</c:v>
                </c:pt>
                <c:pt idx="55">
                  <c:v>1655</c:v>
                </c:pt>
                <c:pt idx="56">
                  <c:v>1656</c:v>
                </c:pt>
                <c:pt idx="57">
                  <c:v>1657</c:v>
                </c:pt>
                <c:pt idx="58">
                  <c:v>1658</c:v>
                </c:pt>
                <c:pt idx="59">
                  <c:v>1659</c:v>
                </c:pt>
                <c:pt idx="60">
                  <c:v>1660</c:v>
                </c:pt>
                <c:pt idx="61">
                  <c:v>1661</c:v>
                </c:pt>
                <c:pt idx="62">
                  <c:v>1662</c:v>
                </c:pt>
                <c:pt idx="63">
                  <c:v>1663</c:v>
                </c:pt>
                <c:pt idx="64">
                  <c:v>1664</c:v>
                </c:pt>
                <c:pt idx="65">
                  <c:v>1665</c:v>
                </c:pt>
                <c:pt idx="66">
                  <c:v>1666</c:v>
                </c:pt>
                <c:pt idx="67">
                  <c:v>1667</c:v>
                </c:pt>
                <c:pt idx="68">
                  <c:v>1668</c:v>
                </c:pt>
                <c:pt idx="69">
                  <c:v>1669</c:v>
                </c:pt>
                <c:pt idx="70">
                  <c:v>1670</c:v>
                </c:pt>
                <c:pt idx="71">
                  <c:v>1671</c:v>
                </c:pt>
                <c:pt idx="72">
                  <c:v>1672</c:v>
                </c:pt>
                <c:pt idx="73">
                  <c:v>1673</c:v>
                </c:pt>
                <c:pt idx="74">
                  <c:v>1674</c:v>
                </c:pt>
                <c:pt idx="75">
                  <c:v>1675</c:v>
                </c:pt>
                <c:pt idx="76">
                  <c:v>1676</c:v>
                </c:pt>
                <c:pt idx="77">
                  <c:v>1677</c:v>
                </c:pt>
                <c:pt idx="78">
                  <c:v>1678</c:v>
                </c:pt>
                <c:pt idx="79">
                  <c:v>1679</c:v>
                </c:pt>
                <c:pt idx="80">
                  <c:v>1680</c:v>
                </c:pt>
                <c:pt idx="81">
                  <c:v>1681</c:v>
                </c:pt>
                <c:pt idx="82">
                  <c:v>1682</c:v>
                </c:pt>
                <c:pt idx="83">
                  <c:v>1683</c:v>
                </c:pt>
                <c:pt idx="84">
                  <c:v>1684</c:v>
                </c:pt>
                <c:pt idx="85">
                  <c:v>1685</c:v>
                </c:pt>
                <c:pt idx="86">
                  <c:v>1686</c:v>
                </c:pt>
                <c:pt idx="87">
                  <c:v>1687</c:v>
                </c:pt>
                <c:pt idx="88">
                  <c:v>1688</c:v>
                </c:pt>
                <c:pt idx="89">
                  <c:v>1689</c:v>
                </c:pt>
                <c:pt idx="90">
                  <c:v>1690</c:v>
                </c:pt>
                <c:pt idx="91">
                  <c:v>1691</c:v>
                </c:pt>
                <c:pt idx="92">
                  <c:v>1692</c:v>
                </c:pt>
                <c:pt idx="93">
                  <c:v>1693</c:v>
                </c:pt>
                <c:pt idx="94">
                  <c:v>1694</c:v>
                </c:pt>
                <c:pt idx="95">
                  <c:v>1695</c:v>
                </c:pt>
                <c:pt idx="96">
                  <c:v>1696</c:v>
                </c:pt>
                <c:pt idx="97">
                  <c:v>1697</c:v>
                </c:pt>
                <c:pt idx="98">
                  <c:v>1698</c:v>
                </c:pt>
                <c:pt idx="99">
                  <c:v>1699</c:v>
                </c:pt>
                <c:pt idx="100">
                  <c:v>1700</c:v>
                </c:pt>
                <c:pt idx="101">
                  <c:v>1701</c:v>
                </c:pt>
                <c:pt idx="102">
                  <c:v>1702</c:v>
                </c:pt>
                <c:pt idx="103">
                  <c:v>1703</c:v>
                </c:pt>
                <c:pt idx="104">
                  <c:v>1704</c:v>
                </c:pt>
                <c:pt idx="105">
                  <c:v>1705</c:v>
                </c:pt>
                <c:pt idx="106">
                  <c:v>1706</c:v>
                </c:pt>
                <c:pt idx="107">
                  <c:v>1707</c:v>
                </c:pt>
                <c:pt idx="108">
                  <c:v>1708</c:v>
                </c:pt>
                <c:pt idx="109">
                  <c:v>1709</c:v>
                </c:pt>
                <c:pt idx="110">
                  <c:v>1710</c:v>
                </c:pt>
                <c:pt idx="111">
                  <c:v>1711</c:v>
                </c:pt>
                <c:pt idx="112">
                  <c:v>1712</c:v>
                </c:pt>
                <c:pt idx="113">
                  <c:v>1713</c:v>
                </c:pt>
                <c:pt idx="114">
                  <c:v>1714</c:v>
                </c:pt>
                <c:pt idx="115">
                  <c:v>1715</c:v>
                </c:pt>
                <c:pt idx="116">
                  <c:v>1716</c:v>
                </c:pt>
                <c:pt idx="117">
                  <c:v>1717</c:v>
                </c:pt>
                <c:pt idx="118">
                  <c:v>1718</c:v>
                </c:pt>
                <c:pt idx="119">
                  <c:v>1719</c:v>
                </c:pt>
                <c:pt idx="120">
                  <c:v>1720</c:v>
                </c:pt>
                <c:pt idx="121">
                  <c:v>1721</c:v>
                </c:pt>
                <c:pt idx="122">
                  <c:v>1722</c:v>
                </c:pt>
                <c:pt idx="123">
                  <c:v>1723</c:v>
                </c:pt>
                <c:pt idx="124">
                  <c:v>1724</c:v>
                </c:pt>
                <c:pt idx="125">
                  <c:v>1725</c:v>
                </c:pt>
                <c:pt idx="126">
                  <c:v>1726</c:v>
                </c:pt>
                <c:pt idx="127">
                  <c:v>1727</c:v>
                </c:pt>
                <c:pt idx="128">
                  <c:v>1728</c:v>
                </c:pt>
                <c:pt idx="129">
                  <c:v>1729</c:v>
                </c:pt>
                <c:pt idx="130">
                  <c:v>1730</c:v>
                </c:pt>
                <c:pt idx="131">
                  <c:v>1731</c:v>
                </c:pt>
                <c:pt idx="132">
                  <c:v>1732</c:v>
                </c:pt>
                <c:pt idx="133">
                  <c:v>1733</c:v>
                </c:pt>
                <c:pt idx="134">
                  <c:v>1734</c:v>
                </c:pt>
                <c:pt idx="135">
                  <c:v>1735</c:v>
                </c:pt>
                <c:pt idx="136">
                  <c:v>1736</c:v>
                </c:pt>
                <c:pt idx="137">
                  <c:v>1737</c:v>
                </c:pt>
                <c:pt idx="138">
                  <c:v>1738</c:v>
                </c:pt>
                <c:pt idx="139">
                  <c:v>1739</c:v>
                </c:pt>
                <c:pt idx="140">
                  <c:v>1740</c:v>
                </c:pt>
                <c:pt idx="141">
                  <c:v>1741</c:v>
                </c:pt>
                <c:pt idx="142">
                  <c:v>1742</c:v>
                </c:pt>
                <c:pt idx="143">
                  <c:v>1743</c:v>
                </c:pt>
                <c:pt idx="144">
                  <c:v>1744</c:v>
                </c:pt>
                <c:pt idx="145">
                  <c:v>1745</c:v>
                </c:pt>
                <c:pt idx="146">
                  <c:v>1746</c:v>
                </c:pt>
                <c:pt idx="147">
                  <c:v>1747</c:v>
                </c:pt>
                <c:pt idx="148">
                  <c:v>1748</c:v>
                </c:pt>
                <c:pt idx="149">
                  <c:v>1749</c:v>
                </c:pt>
                <c:pt idx="150">
                  <c:v>1750</c:v>
                </c:pt>
                <c:pt idx="151">
                  <c:v>1751</c:v>
                </c:pt>
                <c:pt idx="152">
                  <c:v>1752</c:v>
                </c:pt>
                <c:pt idx="153">
                  <c:v>1753</c:v>
                </c:pt>
                <c:pt idx="154">
                  <c:v>1754</c:v>
                </c:pt>
                <c:pt idx="155">
                  <c:v>1755</c:v>
                </c:pt>
                <c:pt idx="156">
                  <c:v>1756</c:v>
                </c:pt>
                <c:pt idx="157">
                  <c:v>1757</c:v>
                </c:pt>
                <c:pt idx="158">
                  <c:v>1758</c:v>
                </c:pt>
                <c:pt idx="159">
                  <c:v>1759</c:v>
                </c:pt>
                <c:pt idx="160">
                  <c:v>1760</c:v>
                </c:pt>
                <c:pt idx="161">
                  <c:v>1761</c:v>
                </c:pt>
                <c:pt idx="162">
                  <c:v>1762</c:v>
                </c:pt>
                <c:pt idx="163">
                  <c:v>1763</c:v>
                </c:pt>
                <c:pt idx="164">
                  <c:v>1764</c:v>
                </c:pt>
                <c:pt idx="165">
                  <c:v>1765</c:v>
                </c:pt>
                <c:pt idx="166">
                  <c:v>1766</c:v>
                </c:pt>
                <c:pt idx="167">
                  <c:v>1767</c:v>
                </c:pt>
                <c:pt idx="168">
                  <c:v>1768</c:v>
                </c:pt>
                <c:pt idx="169">
                  <c:v>1769</c:v>
                </c:pt>
                <c:pt idx="170">
                  <c:v>1770</c:v>
                </c:pt>
                <c:pt idx="171">
                  <c:v>1771</c:v>
                </c:pt>
                <c:pt idx="172">
                  <c:v>1772</c:v>
                </c:pt>
                <c:pt idx="173">
                  <c:v>1773</c:v>
                </c:pt>
                <c:pt idx="174">
                  <c:v>1774</c:v>
                </c:pt>
                <c:pt idx="175">
                  <c:v>1775</c:v>
                </c:pt>
                <c:pt idx="176">
                  <c:v>1776</c:v>
                </c:pt>
                <c:pt idx="177">
                  <c:v>1777</c:v>
                </c:pt>
                <c:pt idx="178">
                  <c:v>1778</c:v>
                </c:pt>
                <c:pt idx="179">
                  <c:v>1779</c:v>
                </c:pt>
                <c:pt idx="180">
                  <c:v>1780</c:v>
                </c:pt>
                <c:pt idx="181">
                  <c:v>1781</c:v>
                </c:pt>
                <c:pt idx="182">
                  <c:v>1782</c:v>
                </c:pt>
                <c:pt idx="183">
                  <c:v>1783</c:v>
                </c:pt>
                <c:pt idx="184">
                  <c:v>1784</c:v>
                </c:pt>
                <c:pt idx="185">
                  <c:v>1785</c:v>
                </c:pt>
                <c:pt idx="186">
                  <c:v>1786</c:v>
                </c:pt>
                <c:pt idx="187">
                  <c:v>1787</c:v>
                </c:pt>
                <c:pt idx="188">
                  <c:v>1788</c:v>
                </c:pt>
                <c:pt idx="189">
                  <c:v>1789</c:v>
                </c:pt>
                <c:pt idx="190">
                  <c:v>1790</c:v>
                </c:pt>
                <c:pt idx="191">
                  <c:v>1791</c:v>
                </c:pt>
                <c:pt idx="192">
                  <c:v>1792</c:v>
                </c:pt>
                <c:pt idx="193">
                  <c:v>1793</c:v>
                </c:pt>
                <c:pt idx="194">
                  <c:v>1794</c:v>
                </c:pt>
                <c:pt idx="195">
                  <c:v>1795</c:v>
                </c:pt>
                <c:pt idx="196">
                  <c:v>1796</c:v>
                </c:pt>
                <c:pt idx="197">
                  <c:v>1797</c:v>
                </c:pt>
                <c:pt idx="198">
                  <c:v>1798</c:v>
                </c:pt>
                <c:pt idx="199">
                  <c:v>1799</c:v>
                </c:pt>
                <c:pt idx="200">
                  <c:v>1800</c:v>
                </c:pt>
                <c:pt idx="201">
                  <c:v>1801</c:v>
                </c:pt>
                <c:pt idx="202">
                  <c:v>1802</c:v>
                </c:pt>
                <c:pt idx="203">
                  <c:v>1803</c:v>
                </c:pt>
                <c:pt idx="204">
                  <c:v>1804</c:v>
                </c:pt>
                <c:pt idx="205">
                  <c:v>1805</c:v>
                </c:pt>
                <c:pt idx="206">
                  <c:v>1806</c:v>
                </c:pt>
                <c:pt idx="207">
                  <c:v>1807</c:v>
                </c:pt>
                <c:pt idx="208">
                  <c:v>1808</c:v>
                </c:pt>
                <c:pt idx="209">
                  <c:v>1809</c:v>
                </c:pt>
                <c:pt idx="210">
                  <c:v>1810</c:v>
                </c:pt>
                <c:pt idx="211">
                  <c:v>1811</c:v>
                </c:pt>
                <c:pt idx="212">
                  <c:v>1812</c:v>
                </c:pt>
                <c:pt idx="213">
                  <c:v>1813</c:v>
                </c:pt>
                <c:pt idx="214">
                  <c:v>1814</c:v>
                </c:pt>
                <c:pt idx="215">
                  <c:v>1815</c:v>
                </c:pt>
                <c:pt idx="216">
                  <c:v>1816</c:v>
                </c:pt>
                <c:pt idx="217">
                  <c:v>1817</c:v>
                </c:pt>
                <c:pt idx="218">
                  <c:v>1818</c:v>
                </c:pt>
                <c:pt idx="219">
                  <c:v>1819</c:v>
                </c:pt>
                <c:pt idx="220">
                  <c:v>1820</c:v>
                </c:pt>
                <c:pt idx="221">
                  <c:v>1821</c:v>
                </c:pt>
                <c:pt idx="222">
                  <c:v>1822</c:v>
                </c:pt>
                <c:pt idx="223">
                  <c:v>1823</c:v>
                </c:pt>
                <c:pt idx="224">
                  <c:v>1824</c:v>
                </c:pt>
                <c:pt idx="225">
                  <c:v>1825</c:v>
                </c:pt>
                <c:pt idx="226">
                  <c:v>1826</c:v>
                </c:pt>
                <c:pt idx="227">
                  <c:v>1827</c:v>
                </c:pt>
                <c:pt idx="228">
                  <c:v>1828</c:v>
                </c:pt>
                <c:pt idx="229">
                  <c:v>1829</c:v>
                </c:pt>
                <c:pt idx="230">
                  <c:v>1830</c:v>
                </c:pt>
                <c:pt idx="231">
                  <c:v>1831</c:v>
                </c:pt>
                <c:pt idx="232">
                  <c:v>1832</c:v>
                </c:pt>
                <c:pt idx="233">
                  <c:v>1833</c:v>
                </c:pt>
                <c:pt idx="234">
                  <c:v>1834</c:v>
                </c:pt>
                <c:pt idx="235">
                  <c:v>1835</c:v>
                </c:pt>
                <c:pt idx="236">
                  <c:v>1836</c:v>
                </c:pt>
                <c:pt idx="237">
                  <c:v>1837</c:v>
                </c:pt>
                <c:pt idx="238">
                  <c:v>1838</c:v>
                </c:pt>
                <c:pt idx="239">
                  <c:v>1839</c:v>
                </c:pt>
                <c:pt idx="240">
                  <c:v>1840</c:v>
                </c:pt>
                <c:pt idx="241">
                  <c:v>1841</c:v>
                </c:pt>
                <c:pt idx="242">
                  <c:v>1842</c:v>
                </c:pt>
                <c:pt idx="243">
                  <c:v>1843</c:v>
                </c:pt>
                <c:pt idx="244">
                  <c:v>1844</c:v>
                </c:pt>
                <c:pt idx="245">
                  <c:v>1845</c:v>
                </c:pt>
                <c:pt idx="246">
                  <c:v>1846</c:v>
                </c:pt>
                <c:pt idx="247">
                  <c:v>1847</c:v>
                </c:pt>
                <c:pt idx="248">
                  <c:v>1848</c:v>
                </c:pt>
                <c:pt idx="249">
                  <c:v>1849</c:v>
                </c:pt>
                <c:pt idx="250">
                  <c:v>1850</c:v>
                </c:pt>
                <c:pt idx="251">
                  <c:v>1851</c:v>
                </c:pt>
                <c:pt idx="252">
                  <c:v>1852</c:v>
                </c:pt>
                <c:pt idx="253">
                  <c:v>1853</c:v>
                </c:pt>
                <c:pt idx="254">
                  <c:v>1854</c:v>
                </c:pt>
                <c:pt idx="255">
                  <c:v>1855</c:v>
                </c:pt>
                <c:pt idx="256">
                  <c:v>1856</c:v>
                </c:pt>
                <c:pt idx="257">
                  <c:v>1857</c:v>
                </c:pt>
                <c:pt idx="258">
                  <c:v>1858</c:v>
                </c:pt>
                <c:pt idx="259">
                  <c:v>1859</c:v>
                </c:pt>
                <c:pt idx="260">
                  <c:v>1860</c:v>
                </c:pt>
              </c:numCache>
            </c:numRef>
          </c:xVal>
          <c:yVal>
            <c:numRef>
              <c:f>RW_yearly!$E$2:$E$262</c:f>
              <c:numCache>
                <c:formatCode>0.00</c:formatCode>
                <c:ptCount val="261"/>
                <c:pt idx="0">
                  <c:v>0.91989046335220337</c:v>
                </c:pt>
                <c:pt idx="1">
                  <c:v>0.94331347942352295</c:v>
                </c:pt>
                <c:pt idx="2">
                  <c:v>1.0264695882797241</c:v>
                </c:pt>
                <c:pt idx="3">
                  <c:v>1.2144862413406372</c:v>
                </c:pt>
                <c:pt idx="4">
                  <c:v>1.0970557928085327</c:v>
                </c:pt>
                <c:pt idx="5">
                  <c:v>1.2336657047271729</c:v>
                </c:pt>
                <c:pt idx="6">
                  <c:v>1.167949914932251</c:v>
                </c:pt>
                <c:pt idx="7">
                  <c:v>1.030315637588501</c:v>
                </c:pt>
                <c:pt idx="8">
                  <c:v>1.0662077665328979</c:v>
                </c:pt>
                <c:pt idx="9">
                  <c:v>1.159827709197998</c:v>
                </c:pt>
                <c:pt idx="10">
                  <c:v>1.4028187990188599</c:v>
                </c:pt>
                <c:pt idx="11">
                  <c:v>1.4337223768234253</c:v>
                </c:pt>
                <c:pt idx="12">
                  <c:v>1.2665280103683472</c:v>
                </c:pt>
                <c:pt idx="13">
                  <c:v>1.1607041358947754</c:v>
                </c:pt>
                <c:pt idx="14">
                  <c:v>1.3598870038986206</c:v>
                </c:pt>
                <c:pt idx="15">
                  <c:v>1.3408961296081543</c:v>
                </c:pt>
                <c:pt idx="16">
                  <c:v>1.2636570930480957</c:v>
                </c:pt>
                <c:pt idx="17">
                  <c:v>1.2255903482437134</c:v>
                </c:pt>
                <c:pt idx="18">
                  <c:v>1.2068595886230469</c:v>
                </c:pt>
                <c:pt idx="19">
                  <c:v>1.3377211093902588</c:v>
                </c:pt>
                <c:pt idx="20">
                  <c:v>1.1918383836746216</c:v>
                </c:pt>
                <c:pt idx="21">
                  <c:v>1.0040662288665771</c:v>
                </c:pt>
                <c:pt idx="22">
                  <c:v>0.99362844228744507</c:v>
                </c:pt>
                <c:pt idx="23">
                  <c:v>1.0374883413314819</c:v>
                </c:pt>
                <c:pt idx="24">
                  <c:v>1.0426210165023804</c:v>
                </c:pt>
                <c:pt idx="25">
                  <c:v>1.0996158123016357</c:v>
                </c:pt>
                <c:pt idx="26">
                  <c:v>1.0538560152053833</c:v>
                </c:pt>
                <c:pt idx="27">
                  <c:v>1.198486328125</c:v>
                </c:pt>
                <c:pt idx="28">
                  <c:v>0.88644129037857056</c:v>
                </c:pt>
                <c:pt idx="29">
                  <c:v>0.76534247398376465</c:v>
                </c:pt>
                <c:pt idx="30">
                  <c:v>0.84216827154159546</c:v>
                </c:pt>
                <c:pt idx="31">
                  <c:v>0.9249226450920105</c:v>
                </c:pt>
                <c:pt idx="32">
                  <c:v>1.4330313205718994</c:v>
                </c:pt>
                <c:pt idx="33">
                  <c:v>1.458549976348877</c:v>
                </c:pt>
                <c:pt idx="34">
                  <c:v>1.8601299524307251</c:v>
                </c:pt>
                <c:pt idx="35">
                  <c:v>1.7447191476821899</c:v>
                </c:pt>
                <c:pt idx="36">
                  <c:v>1.6988866329193115</c:v>
                </c:pt>
                <c:pt idx="37">
                  <c:v>1.8405388593673706</c:v>
                </c:pt>
                <c:pt idx="38">
                  <c:v>1.9860550165176392</c:v>
                </c:pt>
                <c:pt idx="39">
                  <c:v>2.2286665439605713</c:v>
                </c:pt>
                <c:pt idx="40">
                  <c:v>2.3304688930511475</c:v>
                </c:pt>
                <c:pt idx="41">
                  <c:v>1.9854013919830322</c:v>
                </c:pt>
                <c:pt idx="42">
                  <c:v>1.9129629135131836</c:v>
                </c:pt>
                <c:pt idx="43">
                  <c:v>1.7747797966003418</c:v>
                </c:pt>
                <c:pt idx="44">
                  <c:v>1.6960484981536865</c:v>
                </c:pt>
                <c:pt idx="45">
                  <c:v>1.8341143131256104</c:v>
                </c:pt>
                <c:pt idx="46">
                  <c:v>1.6799912452697754</c:v>
                </c:pt>
                <c:pt idx="47">
                  <c:v>1.4983949661254883</c:v>
                </c:pt>
                <c:pt idx="48">
                  <c:v>1.2708852291107178</c:v>
                </c:pt>
                <c:pt idx="49">
                  <c:v>1.1019622087478638</c:v>
                </c:pt>
                <c:pt idx="50">
                  <c:v>1.1248441934585571</c:v>
                </c:pt>
                <c:pt idx="51">
                  <c:v>1.4281922578811646</c:v>
                </c:pt>
                <c:pt idx="52">
                  <c:v>1.6229840517044067</c:v>
                </c:pt>
                <c:pt idx="53">
                  <c:v>1.5544971227645874</c:v>
                </c:pt>
                <c:pt idx="54">
                  <c:v>1.5842393636703491</c:v>
                </c:pt>
                <c:pt idx="55">
                  <c:v>1.5338236093521118</c:v>
                </c:pt>
                <c:pt idx="56">
                  <c:v>1.3970931768417358</c:v>
                </c:pt>
                <c:pt idx="57">
                  <c:v>1.4453785419464111</c:v>
                </c:pt>
                <c:pt idx="58">
                  <c:v>1.517967700958252</c:v>
                </c:pt>
                <c:pt idx="59">
                  <c:v>1.667006254196167</c:v>
                </c:pt>
                <c:pt idx="60">
                  <c:v>1.5004709959030151</c:v>
                </c:pt>
                <c:pt idx="61">
                  <c:v>1.4521061182022095</c:v>
                </c:pt>
                <c:pt idx="62">
                  <c:v>1.5254775285720825</c:v>
                </c:pt>
                <c:pt idx="63">
                  <c:v>1.375312328338623</c:v>
                </c:pt>
                <c:pt idx="64">
                  <c:v>1.7821413278579712</c:v>
                </c:pt>
                <c:pt idx="65">
                  <c:v>1.2518153190612793</c:v>
                </c:pt>
                <c:pt idx="66">
                  <c:v>1.2559069395065308</c:v>
                </c:pt>
                <c:pt idx="67">
                  <c:v>1.1652227640151978</c:v>
                </c:pt>
                <c:pt idx="68">
                  <c:v>1.1964454650878906</c:v>
                </c:pt>
                <c:pt idx="69">
                  <c:v>1.2513335943222046</c:v>
                </c:pt>
                <c:pt idx="70">
                  <c:v>1.2436733245849609</c:v>
                </c:pt>
                <c:pt idx="71">
                  <c:v>1.0930335521697998</c:v>
                </c:pt>
                <c:pt idx="72">
                  <c:v>1.0145803689956665</c:v>
                </c:pt>
                <c:pt idx="73">
                  <c:v>1.1375976800918579</c:v>
                </c:pt>
                <c:pt idx="74">
                  <c:v>1.0781906843185425</c:v>
                </c:pt>
                <c:pt idx="75">
                  <c:v>0.96488547325134277</c:v>
                </c:pt>
                <c:pt idx="76">
                  <c:v>1.0915374755859375</c:v>
                </c:pt>
                <c:pt idx="77">
                  <c:v>1.0519198179244995</c:v>
                </c:pt>
                <c:pt idx="78">
                  <c:v>1.0527057647705078</c:v>
                </c:pt>
                <c:pt idx="79">
                  <c:v>1.1061141490936279</c:v>
                </c:pt>
                <c:pt idx="80">
                  <c:v>1.1194465160369873</c:v>
                </c:pt>
                <c:pt idx="81">
                  <c:v>1.1776334047317505</c:v>
                </c:pt>
                <c:pt idx="82">
                  <c:v>1.2832134962081909</c:v>
                </c:pt>
                <c:pt idx="83">
                  <c:v>1.3105520009994507</c:v>
                </c:pt>
                <c:pt idx="84">
                  <c:v>1.1730881929397583</c:v>
                </c:pt>
                <c:pt idx="85">
                  <c:v>1.0723955631256104</c:v>
                </c:pt>
                <c:pt idx="86">
                  <c:v>1.1260323524475098</c:v>
                </c:pt>
                <c:pt idx="87">
                  <c:v>1.2540719509124756</c:v>
                </c:pt>
                <c:pt idx="88">
                  <c:v>1.409584641456604</c:v>
                </c:pt>
                <c:pt idx="89">
                  <c:v>1.3460003137588501</c:v>
                </c:pt>
                <c:pt idx="90">
                  <c:v>1.196181058883667</c:v>
                </c:pt>
                <c:pt idx="91">
                  <c:v>1.1726580858230591</c:v>
                </c:pt>
                <c:pt idx="92">
                  <c:v>1.1577247381210327</c:v>
                </c:pt>
                <c:pt idx="93">
                  <c:v>1.0135682821273804</c:v>
                </c:pt>
                <c:pt idx="94">
                  <c:v>1.0462459325790405</c:v>
                </c:pt>
                <c:pt idx="95">
                  <c:v>1.0205966234207153</c:v>
                </c:pt>
                <c:pt idx="96">
                  <c:v>0.89854216575622559</c:v>
                </c:pt>
                <c:pt idx="97">
                  <c:v>0.99576956033706665</c:v>
                </c:pt>
                <c:pt idx="98">
                  <c:v>1.0394489765167236</c:v>
                </c:pt>
                <c:pt idx="99">
                  <c:v>1.0387198925018311</c:v>
                </c:pt>
                <c:pt idx="100">
                  <c:v>1.1055190563201904</c:v>
                </c:pt>
                <c:pt idx="101">
                  <c:v>1.1198067665100098</c:v>
                </c:pt>
                <c:pt idx="102">
                  <c:v>1.2567784786224365</c:v>
                </c:pt>
                <c:pt idx="103">
                  <c:v>1.2431173324584961</c:v>
                </c:pt>
                <c:pt idx="104">
                  <c:v>1.2553195953369141</c:v>
                </c:pt>
                <c:pt idx="105">
                  <c:v>1.1842057704925537</c:v>
                </c:pt>
                <c:pt idx="106">
                  <c:v>1.1798827648162842</c:v>
                </c:pt>
                <c:pt idx="107">
                  <c:v>1.1887418031692505</c:v>
                </c:pt>
                <c:pt idx="108">
                  <c:v>1.098138689994812</c:v>
                </c:pt>
                <c:pt idx="109">
                  <c:v>0.95254957675933838</c:v>
                </c:pt>
                <c:pt idx="110">
                  <c:v>1.0896090269088745</c:v>
                </c:pt>
                <c:pt idx="111">
                  <c:v>1.3307173252105713</c:v>
                </c:pt>
                <c:pt idx="112">
                  <c:v>1.1974704265594482</c:v>
                </c:pt>
                <c:pt idx="113">
                  <c:v>1.1549454927444458</c:v>
                </c:pt>
                <c:pt idx="114">
                  <c:v>1.1061172485351563</c:v>
                </c:pt>
                <c:pt idx="115">
                  <c:v>1.049180269241333</c:v>
                </c:pt>
                <c:pt idx="116">
                  <c:v>1.0986131429672241</c:v>
                </c:pt>
                <c:pt idx="117">
                  <c:v>1.1046390533447266</c:v>
                </c:pt>
                <c:pt idx="118">
                  <c:v>1.1968567371368408</c:v>
                </c:pt>
                <c:pt idx="119">
                  <c:v>1.2577219009399414</c:v>
                </c:pt>
                <c:pt idx="120">
                  <c:v>1.3058029413223267</c:v>
                </c:pt>
                <c:pt idx="121">
                  <c:v>1.3967523574829102</c:v>
                </c:pt>
                <c:pt idx="122">
                  <c:v>1.406416654586792</c:v>
                </c:pt>
                <c:pt idx="123">
                  <c:v>1.5058927536010742</c:v>
                </c:pt>
                <c:pt idx="124">
                  <c:v>1.3569012880325317</c:v>
                </c:pt>
                <c:pt idx="125">
                  <c:v>1.2912000417709351</c:v>
                </c:pt>
                <c:pt idx="126">
                  <c:v>1.3528256416320801</c:v>
                </c:pt>
                <c:pt idx="127">
                  <c:v>1.4433948993682861</c:v>
                </c:pt>
                <c:pt idx="128">
                  <c:v>1.2981209754943848</c:v>
                </c:pt>
                <c:pt idx="129">
                  <c:v>1.1321548223495483</c:v>
                </c:pt>
                <c:pt idx="130">
                  <c:v>1.1422796249389648</c:v>
                </c:pt>
                <c:pt idx="131">
                  <c:v>1.1347805261611938</c:v>
                </c:pt>
                <c:pt idx="132">
                  <c:v>1.084601879119873</c:v>
                </c:pt>
                <c:pt idx="133">
                  <c:v>1.0062675476074219</c:v>
                </c:pt>
                <c:pt idx="134">
                  <c:v>1.0624423027038574</c:v>
                </c:pt>
                <c:pt idx="135">
                  <c:v>0.96433538198471069</c:v>
                </c:pt>
                <c:pt idx="136">
                  <c:v>0.91120123863220215</c:v>
                </c:pt>
                <c:pt idx="137">
                  <c:v>1.0118546485900879</c:v>
                </c:pt>
                <c:pt idx="138">
                  <c:v>1.0279704332351685</c:v>
                </c:pt>
                <c:pt idx="139">
                  <c:v>0.94039064645767212</c:v>
                </c:pt>
                <c:pt idx="140">
                  <c:v>0.87093287706375122</c:v>
                </c:pt>
                <c:pt idx="141">
                  <c:v>0.92214286327362061</c:v>
                </c:pt>
                <c:pt idx="142">
                  <c:v>0.98118126392364502</c:v>
                </c:pt>
                <c:pt idx="143">
                  <c:v>0.92801082134246826</c:v>
                </c:pt>
                <c:pt idx="144">
                  <c:v>0.9475058913230896</c:v>
                </c:pt>
                <c:pt idx="145">
                  <c:v>0.96368700265884399</c:v>
                </c:pt>
                <c:pt idx="146">
                  <c:v>1.0212838649749756</c:v>
                </c:pt>
                <c:pt idx="147">
                  <c:v>0.9279402494430542</c:v>
                </c:pt>
                <c:pt idx="148">
                  <c:v>0.95633542537689209</c:v>
                </c:pt>
                <c:pt idx="149">
                  <c:v>0.92472285032272339</c:v>
                </c:pt>
                <c:pt idx="150">
                  <c:v>0.84527337551116943</c:v>
                </c:pt>
                <c:pt idx="151">
                  <c:v>0.79895162582397461</c:v>
                </c:pt>
                <c:pt idx="152">
                  <c:v>0.94401091337203979</c:v>
                </c:pt>
                <c:pt idx="153">
                  <c:v>1.0854437351226807</c:v>
                </c:pt>
                <c:pt idx="154">
                  <c:v>1.1280632019042969</c:v>
                </c:pt>
                <c:pt idx="155">
                  <c:v>1.0114036798477173</c:v>
                </c:pt>
                <c:pt idx="156">
                  <c:v>1.0455818176269531</c:v>
                </c:pt>
                <c:pt idx="157">
                  <c:v>0.94490933418273926</c:v>
                </c:pt>
                <c:pt idx="158">
                  <c:v>0.83655905723571777</c:v>
                </c:pt>
                <c:pt idx="159">
                  <c:v>0.85823339223861694</c:v>
                </c:pt>
                <c:pt idx="160">
                  <c:v>0.96935302019119263</c:v>
                </c:pt>
                <c:pt idx="161">
                  <c:v>1.0445225238800049</c:v>
                </c:pt>
                <c:pt idx="162">
                  <c:v>1.0698771476745605</c:v>
                </c:pt>
                <c:pt idx="163">
                  <c:v>0.87485897541046143</c:v>
                </c:pt>
                <c:pt idx="164">
                  <c:v>0.80832397937774658</c:v>
                </c:pt>
                <c:pt idx="165">
                  <c:v>0.86442685127258301</c:v>
                </c:pt>
                <c:pt idx="166">
                  <c:v>0.75270229578018188</c:v>
                </c:pt>
                <c:pt idx="167">
                  <c:v>0.81955134868621826</c:v>
                </c:pt>
                <c:pt idx="168">
                  <c:v>0.91188335418701172</c:v>
                </c:pt>
                <c:pt idx="169">
                  <c:v>0.97968560457229614</c:v>
                </c:pt>
                <c:pt idx="170">
                  <c:v>0.93217301368713379</c:v>
                </c:pt>
                <c:pt idx="171">
                  <c:v>0.87714296579360962</c:v>
                </c:pt>
                <c:pt idx="172">
                  <c:v>0.79703593254089355</c:v>
                </c:pt>
                <c:pt idx="173">
                  <c:v>0.7671884298324585</c:v>
                </c:pt>
                <c:pt idx="174">
                  <c:v>0.71975630521774292</c:v>
                </c:pt>
                <c:pt idx="175">
                  <c:v>0.83771556615829468</c:v>
                </c:pt>
                <c:pt idx="176">
                  <c:v>0.8930855393409729</c:v>
                </c:pt>
                <c:pt idx="177">
                  <c:v>0.81477183103561401</c:v>
                </c:pt>
                <c:pt idx="178">
                  <c:v>0.8255121111869812</c:v>
                </c:pt>
                <c:pt idx="179">
                  <c:v>0.85685646533966064</c:v>
                </c:pt>
                <c:pt idx="180">
                  <c:v>0.94017082452774048</c:v>
                </c:pt>
                <c:pt idx="181">
                  <c:v>0.89696735143661499</c:v>
                </c:pt>
                <c:pt idx="182">
                  <c:v>0.86139011383056641</c:v>
                </c:pt>
                <c:pt idx="183">
                  <c:v>0.90141546726226807</c:v>
                </c:pt>
                <c:pt idx="184">
                  <c:v>0.91323810815811157</c:v>
                </c:pt>
                <c:pt idx="185">
                  <c:v>1.0117769241333008</c:v>
                </c:pt>
                <c:pt idx="186">
                  <c:v>0.94686895608901978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B3-4EC8-9920-18751849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81600"/>
        <c:axId val="149061632"/>
      </c:scatterChart>
      <c:valAx>
        <c:axId val="144281600"/>
        <c:scaling>
          <c:orientation val="minMax"/>
          <c:min val="1700"/>
        </c:scaling>
        <c:delete val="0"/>
        <c:axPos val="b"/>
        <c:numFmt formatCode="0" sourceLinked="1"/>
        <c:majorTickMark val="out"/>
        <c:minorTickMark val="none"/>
        <c:tickLblPos val="nextTo"/>
        <c:crossAx val="149061632"/>
        <c:crosses val="autoZero"/>
        <c:crossBetween val="midCat"/>
      </c:valAx>
      <c:valAx>
        <c:axId val="1490616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42816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comparison!$C$2</c:f>
              <c:strCache>
                <c:ptCount val="1"/>
                <c:pt idx="0">
                  <c:v>England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comparison!$B$3:$B$103</c:f>
              <c:numCache>
                <c:formatCode>General</c:formatCode>
                <c:ptCount val="101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</c:numCache>
            </c:numRef>
          </c:xVal>
          <c:yVal>
            <c:numRef>
              <c:f>comparison!$C$3:$C$103</c:f>
              <c:numCache>
                <c:formatCode>0</c:formatCode>
                <c:ptCount val="101"/>
                <c:pt idx="0">
                  <c:v>151.93488677996274</c:v>
                </c:pt>
                <c:pt idx="1">
                  <c:v>149.2267800969868</c:v>
                </c:pt>
                <c:pt idx="2">
                  <c:v>146.57591397347366</c:v>
                </c:pt>
                <c:pt idx="3">
                  <c:v>161.99202503148518</c:v>
                </c:pt>
                <c:pt idx="4">
                  <c:v>136.04963329320117</c:v>
                </c:pt>
                <c:pt idx="5">
                  <c:v>142.62394869396502</c:v>
                </c:pt>
                <c:pt idx="6">
                  <c:v>141.13666848016965</c:v>
                </c:pt>
                <c:pt idx="7">
                  <c:v>147.80972550095953</c:v>
                </c:pt>
                <c:pt idx="8">
                  <c:v>179.72860346387452</c:v>
                </c:pt>
                <c:pt idx="9">
                  <c:v>203.08837097185045</c:v>
                </c:pt>
                <c:pt idx="10">
                  <c:v>175.52739133815896</c:v>
                </c:pt>
                <c:pt idx="11">
                  <c:v>168.2370275591955</c:v>
                </c:pt>
                <c:pt idx="12">
                  <c:v>161.366322131804</c:v>
                </c:pt>
                <c:pt idx="13">
                  <c:v>168.91782347249213</c:v>
                </c:pt>
                <c:pt idx="14">
                  <c:v>152.9078233643057</c:v>
                </c:pt>
                <c:pt idx="15">
                  <c:v>161.59366530751967</c:v>
                </c:pt>
                <c:pt idx="16">
                  <c:v>160.28206432979991</c:v>
                </c:pt>
                <c:pt idx="17">
                  <c:v>151.24121365679417</c:v>
                </c:pt>
                <c:pt idx="18">
                  <c:v>143.41937719915742</c:v>
                </c:pt>
                <c:pt idx="19">
                  <c:v>151.42840145779573</c:v>
                </c:pt>
                <c:pt idx="20">
                  <c:v>153.40100185230165</c:v>
                </c:pt>
                <c:pt idx="21">
                  <c:v>148.87396235039725</c:v>
                </c:pt>
                <c:pt idx="22">
                  <c:v>151.31199078113528</c:v>
                </c:pt>
                <c:pt idx="23">
                  <c:v>153.03562710783149</c:v>
                </c:pt>
                <c:pt idx="24">
                  <c:v>160.79957310863139</c:v>
                </c:pt>
                <c:pt idx="25">
                  <c:v>169.22718810215841</c:v>
                </c:pt>
                <c:pt idx="26">
                  <c:v>158.03675927541718</c:v>
                </c:pt>
                <c:pt idx="27">
                  <c:v>176.5482853122021</c:v>
                </c:pt>
                <c:pt idx="28">
                  <c:v>172.99003894571413</c:v>
                </c:pt>
                <c:pt idx="29">
                  <c:v>152.05632787494264</c:v>
                </c:pt>
                <c:pt idx="30">
                  <c:v>147.40621276865508</c:v>
                </c:pt>
                <c:pt idx="31">
                  <c:v>140.3368478968379</c:v>
                </c:pt>
                <c:pt idx="32">
                  <c:v>141.30198652949557</c:v>
                </c:pt>
                <c:pt idx="33">
                  <c:v>148.62719626038867</c:v>
                </c:pt>
                <c:pt idx="34">
                  <c:v>153.44757552457347</c:v>
                </c:pt>
                <c:pt idx="35">
                  <c:v>141.96909064787673</c:v>
                </c:pt>
                <c:pt idx="36">
                  <c:v>143.54735137273565</c:v>
                </c:pt>
                <c:pt idx="37">
                  <c:v>137.40902227506723</c:v>
                </c:pt>
                <c:pt idx="38">
                  <c:v>141.36299946792207</c:v>
                </c:pt>
                <c:pt idx="39">
                  <c:v>158.53310279383305</c:v>
                </c:pt>
                <c:pt idx="40">
                  <c:v>164.62787897365769</c:v>
                </c:pt>
                <c:pt idx="41">
                  <c:v>143.64944153682956</c:v>
                </c:pt>
                <c:pt idx="42">
                  <c:v>134.898361688271</c:v>
                </c:pt>
                <c:pt idx="43">
                  <c:v>144.61473520502727</c:v>
                </c:pt>
                <c:pt idx="44">
                  <c:v>132.83958506014579</c:v>
                </c:pt>
                <c:pt idx="45">
                  <c:v>144.14963044635587</c:v>
                </c:pt>
                <c:pt idx="46">
                  <c:v>144.28942106110156</c:v>
                </c:pt>
                <c:pt idx="47">
                  <c:v>142.99240214543406</c:v>
                </c:pt>
                <c:pt idx="48">
                  <c:v>144.37947737259279</c:v>
                </c:pt>
                <c:pt idx="49">
                  <c:v>143.09160972485316</c:v>
                </c:pt>
                <c:pt idx="50">
                  <c:v>129.29353664804512</c:v>
                </c:pt>
                <c:pt idx="51">
                  <c:v>146.57351607143741</c:v>
                </c:pt>
                <c:pt idx="52">
                  <c:v>148.59951904403766</c:v>
                </c:pt>
                <c:pt idx="53">
                  <c:v>146.45695877037514</c:v>
                </c:pt>
                <c:pt idx="54">
                  <c:v>139.54561713245749</c:v>
                </c:pt>
                <c:pt idx="55">
                  <c:v>147.72173822363948</c:v>
                </c:pt>
                <c:pt idx="56">
                  <c:v>177.78987269348249</c:v>
                </c:pt>
                <c:pt idx="57">
                  <c:v>165.07579990719137</c:v>
                </c:pt>
                <c:pt idx="58">
                  <c:v>153.54669759497273</c:v>
                </c:pt>
                <c:pt idx="59">
                  <c:v>145.80511547887656</c:v>
                </c:pt>
                <c:pt idx="60">
                  <c:v>145.24428170889968</c:v>
                </c:pt>
                <c:pt idx="61">
                  <c:v>137.04367902046224</c:v>
                </c:pt>
                <c:pt idx="62">
                  <c:v>144.19296767780887</c:v>
                </c:pt>
                <c:pt idx="63">
                  <c:v>147.12140924960136</c:v>
                </c:pt>
                <c:pt idx="64">
                  <c:v>157.2723797582324</c:v>
                </c:pt>
                <c:pt idx="65">
                  <c:v>171.26278354275934</c:v>
                </c:pt>
                <c:pt idx="66">
                  <c:v>166.8739905243053</c:v>
                </c:pt>
                <c:pt idx="67">
                  <c:v>184.80110459325522</c:v>
                </c:pt>
                <c:pt idx="68">
                  <c:v>179.78347527224383</c:v>
                </c:pt>
                <c:pt idx="69">
                  <c:v>163.15807171776265</c:v>
                </c:pt>
                <c:pt idx="70">
                  <c:v>166.27595765807533</c:v>
                </c:pt>
                <c:pt idx="71">
                  <c:v>178.15733400885389</c:v>
                </c:pt>
                <c:pt idx="72">
                  <c:v>194.20825838523459</c:v>
                </c:pt>
                <c:pt idx="73">
                  <c:v>194.29209940960834</c:v>
                </c:pt>
                <c:pt idx="74">
                  <c:v>190.42213770079829</c:v>
                </c:pt>
                <c:pt idx="75">
                  <c:v>189.19242570463834</c:v>
                </c:pt>
                <c:pt idx="76">
                  <c:v>176.30209286952376</c:v>
                </c:pt>
                <c:pt idx="77">
                  <c:v>189.35588642443452</c:v>
                </c:pt>
                <c:pt idx="78">
                  <c:v>183.66010301812855</c:v>
                </c:pt>
                <c:pt idx="79">
                  <c:v>173.11245368907095</c:v>
                </c:pt>
                <c:pt idx="80">
                  <c:v>170.45898351299292</c:v>
                </c:pt>
                <c:pt idx="81">
                  <c:v>183.50175093187798</c:v>
                </c:pt>
                <c:pt idx="82">
                  <c:v>184.62841020821497</c:v>
                </c:pt>
                <c:pt idx="83">
                  <c:v>189.31242809701718</c:v>
                </c:pt>
                <c:pt idx="84">
                  <c:v>185.70717009091157</c:v>
                </c:pt>
                <c:pt idx="85">
                  <c:v>179.26523755384179</c:v>
                </c:pt>
                <c:pt idx="86">
                  <c:v>174.01718421786421</c:v>
                </c:pt>
                <c:pt idx="87">
                  <c:v>175.90351332791784</c:v>
                </c:pt>
                <c:pt idx="88">
                  <c:v>181.37687399305858</c:v>
                </c:pt>
                <c:pt idx="89">
                  <c:v>190.19692620788359</c:v>
                </c:pt>
                <c:pt idx="90">
                  <c:v>192.74581317242516</c:v>
                </c:pt>
                <c:pt idx="91">
                  <c:v>185.78441706642525</c:v>
                </c:pt>
                <c:pt idx="92">
                  <c:v>183.25742134090078</c:v>
                </c:pt>
                <c:pt idx="93">
                  <c:v>181.46800946289699</c:v>
                </c:pt>
                <c:pt idx="94">
                  <c:v>194.85019558149176</c:v>
                </c:pt>
                <c:pt idx="95">
                  <c:v>212.72860212347825</c:v>
                </c:pt>
                <c:pt idx="96">
                  <c:v>202.35830333947925</c:v>
                </c:pt>
                <c:pt idx="97">
                  <c:v>178.31317530330017</c:v>
                </c:pt>
                <c:pt idx="98">
                  <c:v>173.23797436007808</c:v>
                </c:pt>
                <c:pt idx="99">
                  <c:v>177.50998418502797</c:v>
                </c:pt>
                <c:pt idx="100">
                  <c:v>235.82675734517971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D-4E6B-8D21-699E9652EE1C}"/>
            </c:ext>
          </c:extLst>
        </c:ser>
        <c:ser>
          <c:idx val="1"/>
          <c:order val="1"/>
          <c:tx>
            <c:strRef>
              <c:f>comparison!$D$2</c:f>
              <c:strCache>
                <c:ptCount val="1"/>
                <c:pt idx="0">
                  <c:v>Moscow unskilled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comparison!$B$3:$B$103</c:f>
              <c:numCache>
                <c:formatCode>General</c:formatCode>
                <c:ptCount val="101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</c:numCache>
            </c:numRef>
          </c:xVal>
          <c:yVal>
            <c:numRef>
              <c:f>comparison!$D$3:$D$103</c:f>
              <c:numCache>
                <c:formatCode>0</c:formatCode>
                <c:ptCount val="101"/>
                <c:pt idx="28">
                  <c:v>353</c:v>
                </c:pt>
                <c:pt idx="38">
                  <c:v>313.5794814782609</c:v>
                </c:pt>
                <c:pt idx="62">
                  <c:v>315.11412712499992</c:v>
                </c:pt>
                <c:pt idx="67">
                  <c:v>490.7267594459999</c:v>
                </c:pt>
                <c:pt idx="77">
                  <c:v>104</c:v>
                </c:pt>
                <c:pt idx="86">
                  <c:v>318.05303569086919</c:v>
                </c:pt>
                <c:pt idx="87">
                  <c:v>299.06518190031773</c:v>
                </c:pt>
                <c:pt idx="88">
                  <c:v>267.8131030352302</c:v>
                </c:pt>
                <c:pt idx="93">
                  <c:v>376.94399584925389</c:v>
                </c:pt>
                <c:pt idx="94">
                  <c:v>157.86886382286923</c:v>
                </c:pt>
                <c:pt idx="96">
                  <c:v>205.34724736462499</c:v>
                </c:pt>
                <c:pt idx="98">
                  <c:v>402.9378651450001</c:v>
                </c:pt>
                <c:pt idx="100">
                  <c:v>220.63385334461535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D-4E6B-8D21-699E9652EE1C}"/>
            </c:ext>
          </c:extLst>
        </c:ser>
        <c:ser>
          <c:idx val="2"/>
          <c:order val="2"/>
          <c:tx>
            <c:strRef>
              <c:f>comparison!$E$2</c:f>
              <c:strCache>
                <c:ptCount val="1"/>
                <c:pt idx="0">
                  <c:v>Moscow skilled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comparison!$B$3:$B$103</c:f>
              <c:numCache>
                <c:formatCode>General</c:formatCode>
                <c:ptCount val="101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</c:numCache>
            </c:numRef>
          </c:xVal>
          <c:yVal>
            <c:numRef>
              <c:f>comparison!$E$3:$E$103</c:f>
              <c:numCache>
                <c:formatCode>0</c:formatCode>
                <c:ptCount val="101"/>
                <c:pt idx="26">
                  <c:v>123.62962342500001</c:v>
                </c:pt>
                <c:pt idx="41">
                  <c:v>100.17122325000001</c:v>
                </c:pt>
                <c:pt idx="62">
                  <c:v>52.519021187499987</c:v>
                </c:pt>
                <c:pt idx="67">
                  <c:v>153.35211232687499</c:v>
                </c:pt>
                <c:pt idx="77">
                  <c:v>75.988577296346151</c:v>
                </c:pt>
                <c:pt idx="89">
                  <c:v>150.86804804317967</c:v>
                </c:pt>
                <c:pt idx="96">
                  <c:v>93.339657893011349</c:v>
                </c:pt>
                <c:pt idx="100">
                  <c:v>82.607882617260799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D-4E6B-8D21-699E9652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26664"/>
        <c:axId val="647120760"/>
      </c:scatterChart>
      <c:valAx>
        <c:axId val="647126664"/>
        <c:scaling>
          <c:orientation val="minMax"/>
          <c:max val="1800"/>
          <c:min val="17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20760"/>
        <c:crosses val="autoZero"/>
        <c:crossBetween val="midCat"/>
      </c:valAx>
      <c:valAx>
        <c:axId val="64712076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26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1'!$AG$4</c:f>
              <c:strCache>
                <c:ptCount val="1"/>
                <c:pt idx="0">
                  <c:v>Cost in Rubles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1'!$AF$5:$AF$33</c:f>
              <c:numCache>
                <c:formatCode>General</c:formatCode>
                <c:ptCount val="29"/>
                <c:pt idx="0">
                  <c:v>1718</c:v>
                </c:pt>
                <c:pt idx="1">
                  <c:v>1728</c:v>
                </c:pt>
                <c:pt idx="2">
                  <c:v>1738</c:v>
                </c:pt>
                <c:pt idx="3">
                  <c:v>1762</c:v>
                </c:pt>
                <c:pt idx="4">
                  <c:v>1763</c:v>
                </c:pt>
                <c:pt idx="5">
                  <c:v>1764</c:v>
                </c:pt>
                <c:pt idx="6">
                  <c:v>1767</c:v>
                </c:pt>
                <c:pt idx="7">
                  <c:v>1777</c:v>
                </c:pt>
                <c:pt idx="8">
                  <c:v>1786</c:v>
                </c:pt>
                <c:pt idx="9">
                  <c:v>1787</c:v>
                </c:pt>
                <c:pt idx="10">
                  <c:v>1788</c:v>
                </c:pt>
                <c:pt idx="11">
                  <c:v>1789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1805</c:v>
                </c:pt>
                <c:pt idx="24">
                  <c:v>1806</c:v>
                </c:pt>
                <c:pt idx="25">
                  <c:v>1807</c:v>
                </c:pt>
                <c:pt idx="26">
                  <c:v>1809</c:v>
                </c:pt>
                <c:pt idx="27">
                  <c:v>1810</c:v>
                </c:pt>
                <c:pt idx="28">
                  <c:v>1815</c:v>
                </c:pt>
              </c:numCache>
            </c:numRef>
          </c:xVal>
          <c:yVal>
            <c:numRef>
              <c:f>'figure 1'!$AG$5:$AG$33</c:f>
            </c:numRef>
          </c:yVal>
          <c:smooth val="0"/>
          <c:extLst>
            <c:ext xmlns:c16="http://schemas.microsoft.com/office/drawing/2014/chart" uri="{C3380CC4-5D6E-409C-BE32-E72D297353CC}">
              <c16:uniqueId val="{00000000-FABD-4D14-BC53-EFC366DF1AAE}"/>
            </c:ext>
          </c:extLst>
        </c:ser>
        <c:ser>
          <c:idx val="1"/>
          <c:order val="1"/>
          <c:tx>
            <c:strRef>
              <c:f>'figure 1'!$AH$4</c:f>
              <c:strCache>
                <c:ptCount val="1"/>
                <c:pt idx="0">
                  <c:v>Index (Cost in Rubles)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tar"/>
            <c:size val="11"/>
            <c:spPr>
              <a:solidFill>
                <a:schemeClr val="bg1">
                  <a:lumMod val="50000"/>
                </a:schemeClr>
              </a:solidFill>
              <a:ln w="158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'figure 1'!$AF$5:$AF$33</c:f>
              <c:numCache>
                <c:formatCode>General</c:formatCode>
                <c:ptCount val="29"/>
                <c:pt idx="0">
                  <c:v>1718</c:v>
                </c:pt>
                <c:pt idx="1">
                  <c:v>1728</c:v>
                </c:pt>
                <c:pt idx="2">
                  <c:v>1738</c:v>
                </c:pt>
                <c:pt idx="3">
                  <c:v>1762</c:v>
                </c:pt>
                <c:pt idx="4">
                  <c:v>1763</c:v>
                </c:pt>
                <c:pt idx="5">
                  <c:v>1764</c:v>
                </c:pt>
                <c:pt idx="6">
                  <c:v>1767</c:v>
                </c:pt>
                <c:pt idx="7">
                  <c:v>1777</c:v>
                </c:pt>
                <c:pt idx="8">
                  <c:v>1786</c:v>
                </c:pt>
                <c:pt idx="9">
                  <c:v>1787</c:v>
                </c:pt>
                <c:pt idx="10">
                  <c:v>1788</c:v>
                </c:pt>
                <c:pt idx="11">
                  <c:v>1789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1805</c:v>
                </c:pt>
                <c:pt idx="24">
                  <c:v>1806</c:v>
                </c:pt>
                <c:pt idx="25">
                  <c:v>1807</c:v>
                </c:pt>
                <c:pt idx="26">
                  <c:v>1809</c:v>
                </c:pt>
                <c:pt idx="27">
                  <c:v>1810</c:v>
                </c:pt>
                <c:pt idx="28">
                  <c:v>1815</c:v>
                </c:pt>
              </c:numCache>
            </c:numRef>
          </c:xVal>
          <c:yVal>
            <c:numRef>
              <c:f>'figure 1'!$AH$5:$AH$33</c:f>
              <c:numCache>
                <c:formatCode>0</c:formatCode>
                <c:ptCount val="29"/>
                <c:pt idx="0">
                  <c:v>100</c:v>
                </c:pt>
                <c:pt idx="1">
                  <c:v>86.3</c:v>
                </c:pt>
                <c:pt idx="2">
                  <c:v>83.9</c:v>
                </c:pt>
                <c:pt idx="3">
                  <c:v>88</c:v>
                </c:pt>
                <c:pt idx="4">
                  <c:v>90.6</c:v>
                </c:pt>
                <c:pt idx="5">
                  <c:v>89</c:v>
                </c:pt>
                <c:pt idx="6">
                  <c:v>171.3</c:v>
                </c:pt>
                <c:pt idx="7">
                  <c:v>128.1</c:v>
                </c:pt>
                <c:pt idx="8">
                  <c:v>222</c:v>
                </c:pt>
                <c:pt idx="9">
                  <c:v>382.8</c:v>
                </c:pt>
                <c:pt idx="10">
                  <c:v>263.3</c:v>
                </c:pt>
                <c:pt idx="11">
                  <c:v>230.4</c:v>
                </c:pt>
                <c:pt idx="12">
                  <c:v>207</c:v>
                </c:pt>
                <c:pt idx="13">
                  <c:v>301.5</c:v>
                </c:pt>
                <c:pt idx="14">
                  <c:v>275.5</c:v>
                </c:pt>
                <c:pt idx="15">
                  <c:v>333.4</c:v>
                </c:pt>
                <c:pt idx="16">
                  <c:v>369.9</c:v>
                </c:pt>
                <c:pt idx="17">
                  <c:v>318.60000000000002</c:v>
                </c:pt>
                <c:pt idx="18">
                  <c:v>289.8</c:v>
                </c:pt>
                <c:pt idx="19">
                  <c:v>296</c:v>
                </c:pt>
                <c:pt idx="20">
                  <c:v>363.4</c:v>
                </c:pt>
                <c:pt idx="21">
                  <c:v>379.2</c:v>
                </c:pt>
                <c:pt idx="22">
                  <c:v>320.7</c:v>
                </c:pt>
                <c:pt idx="23">
                  <c:v>315.5</c:v>
                </c:pt>
                <c:pt idx="24">
                  <c:v>363</c:v>
                </c:pt>
                <c:pt idx="25">
                  <c:v>380.7</c:v>
                </c:pt>
                <c:pt idx="26">
                  <c:v>518.6</c:v>
                </c:pt>
                <c:pt idx="27">
                  <c:v>628.20000000000005</c:v>
                </c:pt>
                <c:pt idx="28">
                  <c:v>826.8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BD-4D14-BC53-EFC366DF1AAE}"/>
            </c:ext>
          </c:extLst>
        </c:ser>
        <c:ser>
          <c:idx val="2"/>
          <c:order val="2"/>
          <c:tx>
            <c:strRef>
              <c:f>'figure 1'!$AI$4</c:f>
              <c:strCache>
                <c:ptCount val="1"/>
                <c:pt idx="0">
                  <c:v>Cost in Silver Rubles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1'!$AF$5:$AF$33</c:f>
              <c:numCache>
                <c:formatCode>General</c:formatCode>
                <c:ptCount val="29"/>
                <c:pt idx="0">
                  <c:v>1718</c:v>
                </c:pt>
                <c:pt idx="1">
                  <c:v>1728</c:v>
                </c:pt>
                <c:pt idx="2">
                  <c:v>1738</c:v>
                </c:pt>
                <c:pt idx="3">
                  <c:v>1762</c:v>
                </c:pt>
                <c:pt idx="4">
                  <c:v>1763</c:v>
                </c:pt>
                <c:pt idx="5">
                  <c:v>1764</c:v>
                </c:pt>
                <c:pt idx="6">
                  <c:v>1767</c:v>
                </c:pt>
                <c:pt idx="7">
                  <c:v>1777</c:v>
                </c:pt>
                <c:pt idx="8">
                  <c:v>1786</c:v>
                </c:pt>
                <c:pt idx="9">
                  <c:v>1787</c:v>
                </c:pt>
                <c:pt idx="10">
                  <c:v>1788</c:v>
                </c:pt>
                <c:pt idx="11">
                  <c:v>1789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1805</c:v>
                </c:pt>
                <c:pt idx="24">
                  <c:v>1806</c:v>
                </c:pt>
                <c:pt idx="25">
                  <c:v>1807</c:v>
                </c:pt>
                <c:pt idx="26">
                  <c:v>1809</c:v>
                </c:pt>
                <c:pt idx="27">
                  <c:v>1810</c:v>
                </c:pt>
                <c:pt idx="28">
                  <c:v>1815</c:v>
                </c:pt>
              </c:numCache>
            </c:numRef>
          </c:xVal>
          <c:yVal>
            <c:numRef>
              <c:f>'figure 1'!$AI$5:$AI$33</c:f>
            </c:numRef>
          </c:yVal>
          <c:smooth val="0"/>
          <c:extLst>
            <c:ext xmlns:c16="http://schemas.microsoft.com/office/drawing/2014/chart" uri="{C3380CC4-5D6E-409C-BE32-E72D297353CC}">
              <c16:uniqueId val="{00000002-FABD-4D14-BC53-EFC366DF1AAE}"/>
            </c:ext>
          </c:extLst>
        </c:ser>
        <c:ser>
          <c:idx val="3"/>
          <c:order val="3"/>
          <c:tx>
            <c:strRef>
              <c:f>'figure 1'!$AJ$4</c:f>
              <c:strCache>
                <c:ptCount val="1"/>
                <c:pt idx="0">
                  <c:v>Index (Cost in Silver Rubles)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1'!$AF$5:$AF$33</c:f>
              <c:numCache>
                <c:formatCode>General</c:formatCode>
                <c:ptCount val="29"/>
                <c:pt idx="0">
                  <c:v>1718</c:v>
                </c:pt>
                <c:pt idx="1">
                  <c:v>1728</c:v>
                </c:pt>
                <c:pt idx="2">
                  <c:v>1738</c:v>
                </c:pt>
                <c:pt idx="3">
                  <c:v>1762</c:v>
                </c:pt>
                <c:pt idx="4">
                  <c:v>1763</c:v>
                </c:pt>
                <c:pt idx="5">
                  <c:v>1764</c:v>
                </c:pt>
                <c:pt idx="6">
                  <c:v>1767</c:v>
                </c:pt>
                <c:pt idx="7">
                  <c:v>1777</c:v>
                </c:pt>
                <c:pt idx="8">
                  <c:v>1786</c:v>
                </c:pt>
                <c:pt idx="9">
                  <c:v>1787</c:v>
                </c:pt>
                <c:pt idx="10">
                  <c:v>1788</c:v>
                </c:pt>
                <c:pt idx="11">
                  <c:v>1789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1805</c:v>
                </c:pt>
                <c:pt idx="24">
                  <c:v>1806</c:v>
                </c:pt>
                <c:pt idx="25">
                  <c:v>1807</c:v>
                </c:pt>
                <c:pt idx="26">
                  <c:v>1809</c:v>
                </c:pt>
                <c:pt idx="27">
                  <c:v>1810</c:v>
                </c:pt>
                <c:pt idx="28">
                  <c:v>1815</c:v>
                </c:pt>
              </c:numCache>
            </c:numRef>
          </c:xVal>
          <c:yVal>
            <c:numRef>
              <c:f>'figure 1'!$AJ$5:$AJ$33</c:f>
              <c:numCache>
                <c:formatCode>0</c:formatCode>
                <c:ptCount val="29"/>
                <c:pt idx="0">
                  <c:v>100</c:v>
                </c:pt>
                <c:pt idx="1">
                  <c:v>86.3</c:v>
                </c:pt>
                <c:pt idx="2">
                  <c:v>84.6</c:v>
                </c:pt>
                <c:pt idx="3">
                  <c:v>88.7</c:v>
                </c:pt>
                <c:pt idx="4">
                  <c:v>91.2</c:v>
                </c:pt>
                <c:pt idx="5">
                  <c:v>77.8</c:v>
                </c:pt>
                <c:pt idx="6">
                  <c:v>149.80000000000001</c:v>
                </c:pt>
                <c:pt idx="7">
                  <c:v>110.9</c:v>
                </c:pt>
                <c:pt idx="8">
                  <c:v>190.4</c:v>
                </c:pt>
                <c:pt idx="9">
                  <c:v>324.89999999999998</c:v>
                </c:pt>
                <c:pt idx="10">
                  <c:v>213.2</c:v>
                </c:pt>
                <c:pt idx="11">
                  <c:v>184.8</c:v>
                </c:pt>
                <c:pt idx="12">
                  <c:v>143.6</c:v>
                </c:pt>
                <c:pt idx="13">
                  <c:v>195.3</c:v>
                </c:pt>
                <c:pt idx="14">
                  <c:v>170.9</c:v>
                </c:pt>
                <c:pt idx="15">
                  <c:v>199.7</c:v>
                </c:pt>
                <c:pt idx="16">
                  <c:v>227.8</c:v>
                </c:pt>
                <c:pt idx="17">
                  <c:v>221.1</c:v>
                </c:pt>
                <c:pt idx="18">
                  <c:v>184.9</c:v>
                </c:pt>
                <c:pt idx="19">
                  <c:v>171.5</c:v>
                </c:pt>
                <c:pt idx="20">
                  <c:v>207.8</c:v>
                </c:pt>
                <c:pt idx="21">
                  <c:v>219.5</c:v>
                </c:pt>
                <c:pt idx="22">
                  <c:v>203.2</c:v>
                </c:pt>
                <c:pt idx="23">
                  <c:v>212.2</c:v>
                </c:pt>
                <c:pt idx="24">
                  <c:v>237</c:v>
                </c:pt>
                <c:pt idx="25">
                  <c:v>223.5</c:v>
                </c:pt>
                <c:pt idx="26">
                  <c:v>203.3</c:v>
                </c:pt>
                <c:pt idx="27">
                  <c:v>181.3</c:v>
                </c:pt>
                <c:pt idx="28">
                  <c:v>144.69999999999999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BD-4D14-BC53-EFC366DF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805568"/>
        <c:axId val="1088805088"/>
      </c:scatterChart>
      <c:valAx>
        <c:axId val="1088805568"/>
        <c:scaling>
          <c:orientation val="minMax"/>
          <c:max val="1815"/>
          <c:min val="17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805088"/>
        <c:crosses val="autoZero"/>
        <c:crossBetween val="midCat"/>
      </c:valAx>
      <c:valAx>
        <c:axId val="108880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805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2'!$U$1</c:f>
              <c:strCache>
                <c:ptCount val="1"/>
                <c:pt idx="0">
                  <c:v>процент расходов на продукты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2'!$T$2:$T$15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'figure 2'!$U$2:$U$15</c:f>
              <c:numCache>
                <c:formatCode>General</c:formatCode>
                <c:ptCount val="14"/>
                <c:pt idx="0">
                  <c:v>46.945150373187658</c:v>
                </c:pt>
                <c:pt idx="1">
                  <c:v>38.039030802321832</c:v>
                </c:pt>
                <c:pt idx="2">
                  <c:v>50.59168123981528</c:v>
                </c:pt>
                <c:pt idx="3">
                  <c:v>56.343409652852522</c:v>
                </c:pt>
                <c:pt idx="4">
                  <c:v>63.879540352942655</c:v>
                </c:pt>
                <c:pt idx="5">
                  <c:v>65.40276212225443</c:v>
                </c:pt>
                <c:pt idx="6">
                  <c:v>65.511565302048538</c:v>
                </c:pt>
                <c:pt idx="7">
                  <c:v>63.308304788246701</c:v>
                </c:pt>
                <c:pt idx="8">
                  <c:v>53.434434093357638</c:v>
                </c:pt>
                <c:pt idx="9">
                  <c:v>55.842197730160905</c:v>
                </c:pt>
                <c:pt idx="10">
                  <c:v>54.468145593830968</c:v>
                </c:pt>
                <c:pt idx="11">
                  <c:v>55.089386383442154</c:v>
                </c:pt>
                <c:pt idx="12">
                  <c:v>52.227002203056067</c:v>
                </c:pt>
                <c:pt idx="13">
                  <c:v>47.632512684529793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A-4879-8983-847FE6613297}"/>
            </c:ext>
          </c:extLst>
        </c:ser>
        <c:ser>
          <c:idx val="1"/>
          <c:order val="1"/>
          <c:tx>
            <c:strRef>
              <c:f>'figure 2'!$V$1</c:f>
              <c:strCache>
                <c:ptCount val="1"/>
                <c:pt idx="0">
                  <c:v>процент расходов на на промышленные товары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2'!$T$2:$T$15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'figure 2'!$V$2:$V$15</c:f>
              <c:numCache>
                <c:formatCode>General</c:formatCode>
                <c:ptCount val="14"/>
                <c:pt idx="0">
                  <c:v>30.387605336429427</c:v>
                </c:pt>
                <c:pt idx="1">
                  <c:v>40.127794915366962</c:v>
                </c:pt>
                <c:pt idx="2">
                  <c:v>39.027733331431627</c:v>
                </c:pt>
                <c:pt idx="3">
                  <c:v>26.21032530829163</c:v>
                </c:pt>
                <c:pt idx="4">
                  <c:v>25.359165169535743</c:v>
                </c:pt>
                <c:pt idx="5">
                  <c:v>22.189732600476692</c:v>
                </c:pt>
                <c:pt idx="6">
                  <c:v>22.776011311121895</c:v>
                </c:pt>
                <c:pt idx="7">
                  <c:v>26.753660994597464</c:v>
                </c:pt>
                <c:pt idx="8">
                  <c:v>36.276982658705883</c:v>
                </c:pt>
                <c:pt idx="9">
                  <c:v>32.904164093693176</c:v>
                </c:pt>
                <c:pt idx="10">
                  <c:v>34.809528247686089</c:v>
                </c:pt>
                <c:pt idx="11">
                  <c:v>31.664852474979259</c:v>
                </c:pt>
                <c:pt idx="12">
                  <c:v>35.726007758770905</c:v>
                </c:pt>
                <c:pt idx="13">
                  <c:v>41.264797655192588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A-4879-8983-847FE6613297}"/>
            </c:ext>
          </c:extLst>
        </c:ser>
        <c:ser>
          <c:idx val="2"/>
          <c:order val="2"/>
          <c:tx>
            <c:strRef>
              <c:f>'figure 2'!$W$1</c:f>
              <c:strCache>
                <c:ptCount val="1"/>
                <c:pt idx="0">
                  <c:v>процент расходов на отопление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2'!$T$2:$T$15</c:f>
              <c:numCache>
                <c:formatCode>General</c:formatCode>
                <c:ptCount val="14"/>
                <c:pt idx="0">
                  <c:v>1763</c:v>
                </c:pt>
                <c:pt idx="1">
                  <c:v>1764</c:v>
                </c:pt>
                <c:pt idx="2">
                  <c:v>1777</c:v>
                </c:pt>
                <c:pt idx="3">
                  <c:v>1786</c:v>
                </c:pt>
                <c:pt idx="4">
                  <c:v>1793</c:v>
                </c:pt>
                <c:pt idx="5">
                  <c:v>1794</c:v>
                </c:pt>
                <c:pt idx="6">
                  <c:v>1795</c:v>
                </c:pt>
                <c:pt idx="7">
                  <c:v>1796</c:v>
                </c:pt>
                <c:pt idx="8">
                  <c:v>1797</c:v>
                </c:pt>
                <c:pt idx="9">
                  <c:v>1798</c:v>
                </c:pt>
                <c:pt idx="10">
                  <c:v>1799</c:v>
                </c:pt>
                <c:pt idx="11">
                  <c:v>1800</c:v>
                </c:pt>
                <c:pt idx="12">
                  <c:v>1802</c:v>
                </c:pt>
                <c:pt idx="13">
                  <c:v>1805</c:v>
                </c:pt>
              </c:numCache>
            </c:numRef>
          </c:cat>
          <c:val>
            <c:numRef>
              <c:f>'figure 2'!$W$2:$W$15</c:f>
              <c:numCache>
                <c:formatCode>General</c:formatCode>
                <c:ptCount val="14"/>
                <c:pt idx="0">
                  <c:v>17.905339528478152</c:v>
                </c:pt>
                <c:pt idx="1">
                  <c:v>17.071269520406425</c:v>
                </c:pt>
                <c:pt idx="2">
                  <c:v>5.6186806668483369</c:v>
                </c:pt>
                <c:pt idx="3">
                  <c:v>12.684360276951098</c:v>
                </c:pt>
                <c:pt idx="4">
                  <c:v>5.999389715616843</c:v>
                </c:pt>
                <c:pt idx="5">
                  <c:v>7.6456005153641007</c:v>
                </c:pt>
                <c:pt idx="6">
                  <c:v>6.9505186249248085</c:v>
                </c:pt>
                <c:pt idx="7">
                  <c:v>5.1761294552510932</c:v>
                </c:pt>
                <c:pt idx="8">
                  <c:v>5.5266784860317051</c:v>
                </c:pt>
                <c:pt idx="9">
                  <c:v>6.4917334142411489</c:v>
                </c:pt>
                <c:pt idx="10">
                  <c:v>5.9604213965781758</c:v>
                </c:pt>
                <c:pt idx="11">
                  <c:v>8.4838563796738349</c:v>
                </c:pt>
                <c:pt idx="12">
                  <c:v>7.285085276268279</c:v>
                </c:pt>
                <c:pt idx="13">
                  <c:v>6.340784898372851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A-4879-8983-847FE661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826240"/>
        <c:axId val="216827776"/>
      </c:barChart>
      <c:catAx>
        <c:axId val="2168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827776"/>
        <c:crosses val="autoZero"/>
        <c:auto val="1"/>
        <c:lblAlgn val="ctr"/>
        <c:lblOffset val="100"/>
        <c:noMultiLvlLbl val="0"/>
      </c:catAx>
      <c:valAx>
        <c:axId val="2168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82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rye (chetvert)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2'!$B$2:$B$88</c:f>
            </c:numRef>
          </c:yVal>
          <c:smooth val="0"/>
          <c:extLst>
            <c:ext xmlns:c16="http://schemas.microsoft.com/office/drawing/2014/chart" uri="{C3380CC4-5D6E-409C-BE32-E72D297353CC}">
              <c16:uniqueId val="{00000000-4330-4A07-9316-DB565185A402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beef (pound)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2'!$C$2:$C$88</c:f>
            </c:numRef>
          </c:yVal>
          <c:smooth val="0"/>
          <c:extLst>
            <c:ext xmlns:c16="http://schemas.microsoft.com/office/drawing/2014/chart" uri="{C3380CC4-5D6E-409C-BE32-E72D297353CC}">
              <c16:uniqueId val="{00000001-4330-4A07-9316-DB565185A402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butter (pound)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2'!$D$2:$D$88</c:f>
            </c:numRef>
          </c:yVal>
          <c:smooth val="0"/>
          <c:extLst>
            <c:ext xmlns:c16="http://schemas.microsoft.com/office/drawing/2014/chart" uri="{C3380CC4-5D6E-409C-BE32-E72D297353CC}">
              <c16:uniqueId val="{00000002-4330-4A07-9316-DB565185A402}"/>
            </c:ext>
          </c:extLst>
        </c:ser>
        <c:ser>
          <c:idx val="3"/>
          <c:order val="3"/>
          <c:tx>
            <c:strRef>
              <c:f>'figure 2'!$E$1</c:f>
              <c:strCache>
                <c:ptCount val="1"/>
                <c:pt idx="0">
                  <c:v>salt (pood)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2'!$E$2:$E$88</c:f>
            </c:numRef>
          </c:yVal>
          <c:smooth val="0"/>
          <c:extLst>
            <c:ext xmlns:c16="http://schemas.microsoft.com/office/drawing/2014/chart" uri="{C3380CC4-5D6E-409C-BE32-E72D297353CC}">
              <c16:uniqueId val="{00000003-4330-4A07-9316-DB565185A402}"/>
            </c:ext>
          </c:extLst>
        </c:ser>
        <c:ser>
          <c:idx val="4"/>
          <c:order val="4"/>
          <c:tx>
            <c:strRef>
              <c:f>'figure 2'!$F$1</c:f>
              <c:strCache>
                <c:ptCount val="1"/>
                <c:pt idx="0">
                  <c:v>costs of food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bg1">
                  <a:lumMod val="50000"/>
                </a:schemeClr>
              </a:solidFill>
              <a:ln w="22225">
                <a:solidFill>
                  <a:schemeClr val="tx1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2'!$F$2:$F$88</c:f>
              <c:numCache>
                <c:formatCode>0</c:formatCode>
                <c:ptCount val="87"/>
                <c:pt idx="2">
                  <c:v>3.6324461700000001</c:v>
                </c:pt>
                <c:pt idx="6">
                  <c:v>2.5539562450000002</c:v>
                </c:pt>
                <c:pt idx="16">
                  <c:v>2.3993381400000002</c:v>
                </c:pt>
                <c:pt idx="33">
                  <c:v>3.068958013333333</c:v>
                </c:pt>
                <c:pt idx="34">
                  <c:v>3.1533738349999996</c:v>
                </c:pt>
                <c:pt idx="35">
                  <c:v>3.0994458133333334</c:v>
                </c:pt>
                <c:pt idx="38">
                  <c:v>6.5407849420000002</c:v>
                </c:pt>
                <c:pt idx="48">
                  <c:v>4.7101965799999999</c:v>
                </c:pt>
                <c:pt idx="57">
                  <c:v>7.79168436423077</c:v>
                </c:pt>
                <c:pt idx="58">
                  <c:v>12.297088983601562</c:v>
                </c:pt>
                <c:pt idx="59">
                  <c:v>8.8761705066015626</c:v>
                </c:pt>
                <c:pt idx="60">
                  <c:v>8.943243666601564</c:v>
                </c:pt>
                <c:pt idx="61">
                  <c:v>8.9317389316015632</c:v>
                </c:pt>
                <c:pt idx="62">
                  <c:v>7.7653196466015624</c:v>
                </c:pt>
                <c:pt idx="63">
                  <c:v>9.1538569166015638</c:v>
                </c:pt>
                <c:pt idx="64">
                  <c:v>11.392794910000001</c:v>
                </c:pt>
                <c:pt idx="65">
                  <c:v>10.939934329076923</c:v>
                </c:pt>
                <c:pt idx="66">
                  <c:v>11.870182655000001</c:v>
                </c:pt>
                <c:pt idx="67">
                  <c:v>14.430636582410713</c:v>
                </c:pt>
                <c:pt idx="68">
                  <c:v>12.32621372</c:v>
                </c:pt>
                <c:pt idx="69">
                  <c:v>11.192326808571432</c:v>
                </c:pt>
                <c:pt idx="70">
                  <c:v>10.893279343750001</c:v>
                </c:pt>
                <c:pt idx="71">
                  <c:v>12.694795486</c:v>
                </c:pt>
                <c:pt idx="72">
                  <c:v>13.654862729934896</c:v>
                </c:pt>
                <c:pt idx="73">
                  <c:v>11.0936112</c:v>
                </c:pt>
                <c:pt idx="74">
                  <c:v>15.164719850000001</c:v>
                </c:pt>
                <c:pt idx="76">
                  <c:v>9.6735887249999983</c:v>
                </c:pt>
                <c:pt idx="77">
                  <c:v>13.212758902499999</c:v>
                </c:pt>
                <c:pt idx="78">
                  <c:v>13.890880751249998</c:v>
                </c:pt>
                <c:pt idx="79">
                  <c:v>14.569002600000001</c:v>
                </c:pt>
                <c:pt idx="80">
                  <c:v>17.666706700000002</c:v>
                </c:pt>
                <c:pt idx="81">
                  <c:v>21.812201399999999</c:v>
                </c:pt>
                <c:pt idx="83">
                  <c:v>31.312755943333336</c:v>
                </c:pt>
                <c:pt idx="86">
                  <c:v>26.692152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30-4A07-9316-DB565185A402}"/>
            </c:ext>
          </c:extLst>
        </c:ser>
        <c:ser>
          <c:idx val="5"/>
          <c:order val="5"/>
          <c:tx>
            <c:strRef>
              <c:f>'figure 2'!$G$1</c:f>
              <c:strCache>
                <c:ptCount val="1"/>
                <c:pt idx="0">
                  <c:v>% of food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2'!$G$2:$G$88</c:f>
            </c:numRef>
          </c:yVal>
          <c:smooth val="0"/>
          <c:extLst>
            <c:ext xmlns:c16="http://schemas.microsoft.com/office/drawing/2014/chart" uri="{C3380CC4-5D6E-409C-BE32-E72D297353CC}">
              <c16:uniqueId val="{00000006-4330-4A07-9316-DB565185A402}"/>
            </c:ext>
          </c:extLst>
        </c:ser>
        <c:ser>
          <c:idx val="6"/>
          <c:order val="6"/>
          <c:tx>
            <c:strRef>
              <c:f>'figure 2'!$H$1</c:f>
              <c:strCache>
                <c:ptCount val="1"/>
                <c:pt idx="0">
                  <c:v>tallow candle (pood)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2'!$H$2:$H$88</c:f>
            </c:numRef>
          </c:yVal>
          <c:smooth val="0"/>
          <c:extLst>
            <c:ext xmlns:c16="http://schemas.microsoft.com/office/drawing/2014/chart" uri="{C3380CC4-5D6E-409C-BE32-E72D297353CC}">
              <c16:uniqueId val="{00000007-4330-4A07-9316-DB565185A402}"/>
            </c:ext>
          </c:extLst>
        </c:ser>
        <c:ser>
          <c:idx val="7"/>
          <c:order val="7"/>
          <c:tx>
            <c:strRef>
              <c:f>'figure 2'!$I$1</c:f>
              <c:strCache>
                <c:ptCount val="1"/>
                <c:pt idx="0">
                  <c:v>linen cloth (arshin)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2'!$I$2:$I$88</c:f>
            </c:numRef>
          </c:yVal>
          <c:smooth val="0"/>
          <c:extLst>
            <c:ext xmlns:c16="http://schemas.microsoft.com/office/drawing/2014/chart" uri="{C3380CC4-5D6E-409C-BE32-E72D297353CC}">
              <c16:uniqueId val="{00000008-4330-4A07-9316-DB565185A402}"/>
            </c:ext>
          </c:extLst>
        </c:ser>
        <c:ser>
          <c:idx val="8"/>
          <c:order val="8"/>
          <c:tx>
            <c:strRef>
              <c:f>'figure 2'!$J$1</c:f>
              <c:strCache>
                <c:ptCount val="1"/>
                <c:pt idx="0">
                  <c:v>soap (pood)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2'!$J$2:$J$88</c:f>
            </c:numRef>
          </c:yVal>
          <c:smooth val="0"/>
          <c:extLst>
            <c:ext xmlns:c16="http://schemas.microsoft.com/office/drawing/2014/chart" uri="{C3380CC4-5D6E-409C-BE32-E72D297353CC}">
              <c16:uniqueId val="{00000009-4330-4A07-9316-DB565185A402}"/>
            </c:ext>
          </c:extLst>
        </c:ser>
        <c:ser>
          <c:idx val="9"/>
          <c:order val="9"/>
          <c:tx>
            <c:strRef>
              <c:f>'figure 2'!$K$1</c:f>
              <c:strCache>
                <c:ptCount val="1"/>
                <c:pt idx="0">
                  <c:v>costs of industrial goods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22225">
                <a:solidFill>
                  <a:schemeClr val="tx1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2'!$K$2:$K$88</c:f>
              <c:numCache>
                <c:formatCode>0</c:formatCode>
                <c:ptCount val="87"/>
                <c:pt idx="2">
                  <c:v>0.38476018000000006</c:v>
                </c:pt>
                <c:pt idx="6">
                  <c:v>0.397855405</c:v>
                </c:pt>
                <c:pt idx="16">
                  <c:v>0.52237842000000001</c:v>
                </c:pt>
                <c:pt idx="33">
                  <c:v>0.6747592200000001</c:v>
                </c:pt>
                <c:pt idx="34">
                  <c:v>0.68687628000000012</c:v>
                </c:pt>
                <c:pt idx="35">
                  <c:v>0.60491802000000006</c:v>
                </c:pt>
                <c:pt idx="36">
                  <c:v>0.44388543000000003</c:v>
                </c:pt>
                <c:pt idx="38">
                  <c:v>0.73306470000000001</c:v>
                </c:pt>
                <c:pt idx="48">
                  <c:v>0.72959943000000005</c:v>
                </c:pt>
                <c:pt idx="57">
                  <c:v>1.0119040704</c:v>
                </c:pt>
                <c:pt idx="58">
                  <c:v>0.99993218520000005</c:v>
                </c:pt>
                <c:pt idx="59">
                  <c:v>0.99748409999999998</c:v>
                </c:pt>
                <c:pt idx="64">
                  <c:v>1.4370028555555554</c:v>
                </c:pt>
                <c:pt idx="65">
                  <c:v>1.2800621775000001</c:v>
                </c:pt>
                <c:pt idx="66">
                  <c:v>2.15787876</c:v>
                </c:pt>
                <c:pt idx="67">
                  <c:v>1.8107405187500001</c:v>
                </c:pt>
                <c:pt idx="68">
                  <c:v>1.8527857593750001</c:v>
                </c:pt>
                <c:pt idx="69">
                  <c:v>1.6765805999999999</c:v>
                </c:pt>
                <c:pt idx="70">
                  <c:v>1.93986009</c:v>
                </c:pt>
                <c:pt idx="71">
                  <c:v>1.91446329</c:v>
                </c:pt>
                <c:pt idx="72">
                  <c:v>1.8619236600000002</c:v>
                </c:pt>
                <c:pt idx="73">
                  <c:v>1.9605211100000002</c:v>
                </c:pt>
                <c:pt idx="76">
                  <c:v>2.1962874000000001</c:v>
                </c:pt>
                <c:pt idx="77">
                  <c:v>2.3549618100000003</c:v>
                </c:pt>
                <c:pt idx="78">
                  <c:v>2.2319460600000003</c:v>
                </c:pt>
                <c:pt idx="80">
                  <c:v>3.0462765000000003</c:v>
                </c:pt>
                <c:pt idx="81">
                  <c:v>3.92186199</c:v>
                </c:pt>
                <c:pt idx="86">
                  <c:v>6.6900247799999999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330-4A07-9316-DB565185A402}"/>
            </c:ext>
          </c:extLst>
        </c:ser>
        <c:ser>
          <c:idx val="10"/>
          <c:order val="10"/>
          <c:tx>
            <c:strRef>
              <c:f>'figure 2'!$L$1</c:f>
              <c:strCache>
                <c:ptCount val="1"/>
                <c:pt idx="0">
                  <c:v>% of industrial goods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2'!$L$2:$L$88</c:f>
            </c:numRef>
          </c:yVal>
          <c:smooth val="0"/>
          <c:extLst>
            <c:ext xmlns:c16="http://schemas.microsoft.com/office/drawing/2014/chart" uri="{C3380CC4-5D6E-409C-BE32-E72D297353CC}">
              <c16:uniqueId val="{0000000C-4330-4A07-9316-DB565185A402}"/>
            </c:ext>
          </c:extLst>
        </c:ser>
        <c:ser>
          <c:idx val="11"/>
          <c:order val="11"/>
          <c:tx>
            <c:strRef>
              <c:f>'figure 2'!$M$1</c:f>
              <c:strCache>
                <c:ptCount val="1"/>
                <c:pt idx="0">
                  <c:v>the cost of basket without firewood and rent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2'!$M$2:$M$88</c:f>
            </c:numRef>
          </c:yVal>
          <c:smooth val="0"/>
          <c:extLst>
            <c:ext xmlns:c16="http://schemas.microsoft.com/office/drawing/2014/chart" uri="{C3380CC4-5D6E-409C-BE32-E72D297353CC}">
              <c16:uniqueId val="{0000000D-4330-4A07-9316-DB565185A402}"/>
            </c:ext>
          </c:extLst>
        </c:ser>
        <c:ser>
          <c:idx val="12"/>
          <c:order val="12"/>
          <c:tx>
            <c:strRef>
              <c:f>'figure 2'!$N$1</c:f>
              <c:strCache>
                <c:ptCount val="1"/>
                <c:pt idx="0">
                  <c:v>costs of firewood (Kubicheskaya sazhen)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2'!$N$2:$N$88</c:f>
            </c:numRef>
          </c:yVal>
          <c:smooth val="0"/>
          <c:extLst>
            <c:ext xmlns:c16="http://schemas.microsoft.com/office/drawing/2014/chart" uri="{C3380CC4-5D6E-409C-BE32-E72D297353CC}">
              <c16:uniqueId val="{0000000F-4330-4A07-9316-DB565185A402}"/>
            </c:ext>
          </c:extLst>
        </c:ser>
        <c:ser>
          <c:idx val="13"/>
          <c:order val="13"/>
          <c:tx>
            <c:strRef>
              <c:f>'figure 2'!$O$1</c:f>
              <c:strCache>
                <c:ptCount val="1"/>
                <c:pt idx="0">
                  <c:v>costs of firewood (0.26 of sazhen)</c:v>
                </c:pt>
              </c:strCache>
            </c:strRef>
          </c:tx>
          <c:spPr>
            <a:ln w="381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2'!$O$2:$O$88</c:f>
              <c:numCache>
                <c:formatCode>0</c:formatCode>
                <c:ptCount val="87"/>
                <c:pt idx="0">
                  <c:v>0.51546400000000003</c:v>
                </c:pt>
                <c:pt idx="1">
                  <c:v>0.51546400000000003</c:v>
                </c:pt>
                <c:pt idx="2">
                  <c:v>0.52963926000000006</c:v>
                </c:pt>
                <c:pt idx="6">
                  <c:v>0.97293830000000003</c:v>
                </c:pt>
                <c:pt idx="8">
                  <c:v>0.85824756000000002</c:v>
                </c:pt>
                <c:pt idx="9">
                  <c:v>1.0876290399999999</c:v>
                </c:pt>
                <c:pt idx="10">
                  <c:v>0.51546400000000003</c:v>
                </c:pt>
                <c:pt idx="16">
                  <c:v>0.89433004000000016</c:v>
                </c:pt>
                <c:pt idx="33">
                  <c:v>0.25773200000000002</c:v>
                </c:pt>
                <c:pt idx="34">
                  <c:v>0.27835056000000002</c:v>
                </c:pt>
                <c:pt idx="35">
                  <c:v>0.34278356000000004</c:v>
                </c:pt>
                <c:pt idx="38">
                  <c:v>0.51546400000000003</c:v>
                </c:pt>
                <c:pt idx="43">
                  <c:v>0.86340220000000012</c:v>
                </c:pt>
                <c:pt idx="48">
                  <c:v>0.386598</c:v>
                </c:pt>
                <c:pt idx="57">
                  <c:v>0.33333338666666668</c:v>
                </c:pt>
                <c:pt idx="58">
                  <c:v>1.0589921511111111</c:v>
                </c:pt>
                <c:pt idx="59">
                  <c:v>0.54123720000000008</c:v>
                </c:pt>
                <c:pt idx="60">
                  <c:v>0.39518906666666664</c:v>
                </c:pt>
                <c:pt idx="61">
                  <c:v>0.25773200000000002</c:v>
                </c:pt>
                <c:pt idx="62">
                  <c:v>0.28350520000000007</c:v>
                </c:pt>
                <c:pt idx="63">
                  <c:v>0.25773200000000002</c:v>
                </c:pt>
                <c:pt idx="64">
                  <c:v>0.88487986666666674</c:v>
                </c:pt>
                <c:pt idx="65">
                  <c:v>0.30927840000000001</c:v>
                </c:pt>
                <c:pt idx="66">
                  <c:v>1.1340207999999998</c:v>
                </c:pt>
                <c:pt idx="67">
                  <c:v>0.58419253333333332</c:v>
                </c:pt>
                <c:pt idx="68">
                  <c:v>0.30927840000000001</c:v>
                </c:pt>
                <c:pt idx="69">
                  <c:v>0.30927840000000001</c:v>
                </c:pt>
                <c:pt idx="70">
                  <c:v>0.62714786666666678</c:v>
                </c:pt>
                <c:pt idx="71">
                  <c:v>1.9240000000000002</c:v>
                </c:pt>
                <c:pt idx="72">
                  <c:v>1.727141875</c:v>
                </c:pt>
                <c:pt idx="73">
                  <c:v>1.5302837500000002</c:v>
                </c:pt>
                <c:pt idx="74">
                  <c:v>0.30927840000000001</c:v>
                </c:pt>
                <c:pt idx="76">
                  <c:v>2.4799545777777783</c:v>
                </c:pt>
                <c:pt idx="77">
                  <c:v>0.94716509999999998</c:v>
                </c:pt>
                <c:pt idx="78">
                  <c:v>1.1920105000000001</c:v>
                </c:pt>
                <c:pt idx="79">
                  <c:v>1.4368559000000001</c:v>
                </c:pt>
                <c:pt idx="80">
                  <c:v>2.8685571600000004</c:v>
                </c:pt>
                <c:pt idx="81">
                  <c:v>2.8350520000000001</c:v>
                </c:pt>
                <c:pt idx="82">
                  <c:v>3.092784</c:v>
                </c:pt>
                <c:pt idx="83">
                  <c:v>2.9175262400000004</c:v>
                </c:pt>
                <c:pt idx="84">
                  <c:v>4.1237120000000003</c:v>
                </c:pt>
                <c:pt idx="85">
                  <c:v>4.5798976400000004</c:v>
                </c:pt>
                <c:pt idx="86">
                  <c:v>4.2306707799999996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330-4A07-9316-DB565185A402}"/>
            </c:ext>
          </c:extLst>
        </c:ser>
        <c:ser>
          <c:idx val="14"/>
          <c:order val="14"/>
          <c:tx>
            <c:strRef>
              <c:f>'figure 2'!$P$1</c:f>
              <c:strCache>
                <c:ptCount val="1"/>
                <c:pt idx="0">
                  <c:v>% of firewood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2'!$P$2:$P$88</c:f>
            </c:numRef>
          </c:yVal>
          <c:smooth val="0"/>
          <c:extLst>
            <c:ext xmlns:c16="http://schemas.microsoft.com/office/drawing/2014/chart" uri="{C3380CC4-5D6E-409C-BE32-E72D297353CC}">
              <c16:uniqueId val="{00000011-4330-4A07-9316-DB565185A402}"/>
            </c:ext>
          </c:extLst>
        </c:ser>
        <c:ser>
          <c:idx val="15"/>
          <c:order val="15"/>
          <c:tx>
            <c:strRef>
              <c:f>'figure 2'!$Q$1</c:f>
              <c:strCache>
                <c:ptCount val="1"/>
                <c:pt idx="0">
                  <c:v>5% of rent (roubles)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2'!$Q$2:$Q$88</c:f>
            </c:numRef>
          </c:yVal>
          <c:smooth val="0"/>
          <c:extLst>
            <c:ext xmlns:c16="http://schemas.microsoft.com/office/drawing/2014/chart" uri="{C3380CC4-5D6E-409C-BE32-E72D297353CC}">
              <c16:uniqueId val="{00000012-4330-4A07-9316-DB565185A402}"/>
            </c:ext>
          </c:extLst>
        </c:ser>
        <c:ser>
          <c:idx val="16"/>
          <c:order val="16"/>
          <c:tx>
            <c:strRef>
              <c:f>'figure 2'!$R$1</c:f>
              <c:strCache>
                <c:ptCount val="1"/>
                <c:pt idx="0">
                  <c:v>the costs of subsistence basket</c:v>
                </c:pt>
              </c:strCache>
            </c:strRef>
          </c:tx>
          <c:spPr>
            <a:ln w="444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2'!$A$2:$A$88</c:f>
              <c:numCache>
                <c:formatCode>General</c:formatCode>
                <c:ptCount val="87"/>
                <c:pt idx="0">
                  <c:v>1706</c:v>
                </c:pt>
                <c:pt idx="1">
                  <c:v>1708</c:v>
                </c:pt>
                <c:pt idx="2">
                  <c:v>1718</c:v>
                </c:pt>
                <c:pt idx="3">
                  <c:v>1725</c:v>
                </c:pt>
                <c:pt idx="4">
                  <c:v>1726</c:v>
                </c:pt>
                <c:pt idx="5">
                  <c:v>1727</c:v>
                </c:pt>
                <c:pt idx="6">
                  <c:v>1728</c:v>
                </c:pt>
                <c:pt idx="7">
                  <c:v>1729</c:v>
                </c:pt>
                <c:pt idx="8">
                  <c:v>1730</c:v>
                </c:pt>
                <c:pt idx="9">
                  <c:v>1731</c:v>
                </c:pt>
                <c:pt idx="10">
                  <c:v>1732</c:v>
                </c:pt>
                <c:pt idx="11">
                  <c:v>1733</c:v>
                </c:pt>
                <c:pt idx="12">
                  <c:v>1734</c:v>
                </c:pt>
                <c:pt idx="13">
                  <c:v>1735</c:v>
                </c:pt>
                <c:pt idx="14">
                  <c:v>1736</c:v>
                </c:pt>
                <c:pt idx="15">
                  <c:v>1737</c:v>
                </c:pt>
                <c:pt idx="16">
                  <c:v>1738</c:v>
                </c:pt>
                <c:pt idx="17">
                  <c:v>1741</c:v>
                </c:pt>
                <c:pt idx="18">
                  <c:v>1744</c:v>
                </c:pt>
                <c:pt idx="19">
                  <c:v>1745</c:v>
                </c:pt>
                <c:pt idx="20">
                  <c:v>1746</c:v>
                </c:pt>
                <c:pt idx="21">
                  <c:v>1747</c:v>
                </c:pt>
                <c:pt idx="22">
                  <c:v>1748</c:v>
                </c:pt>
                <c:pt idx="23">
                  <c:v>1749</c:v>
                </c:pt>
                <c:pt idx="24">
                  <c:v>1750</c:v>
                </c:pt>
                <c:pt idx="25">
                  <c:v>1751</c:v>
                </c:pt>
                <c:pt idx="26">
                  <c:v>1752</c:v>
                </c:pt>
                <c:pt idx="27">
                  <c:v>1753</c:v>
                </c:pt>
                <c:pt idx="28">
                  <c:v>1757</c:v>
                </c:pt>
                <c:pt idx="29">
                  <c:v>1758</c:v>
                </c:pt>
                <c:pt idx="30">
                  <c:v>1759</c:v>
                </c:pt>
                <c:pt idx="31">
                  <c:v>1760</c:v>
                </c:pt>
                <c:pt idx="32">
                  <c:v>1761</c:v>
                </c:pt>
                <c:pt idx="33">
                  <c:v>1762</c:v>
                </c:pt>
                <c:pt idx="34">
                  <c:v>1763</c:v>
                </c:pt>
                <c:pt idx="35">
                  <c:v>1764</c:v>
                </c:pt>
                <c:pt idx="36">
                  <c:v>1765</c:v>
                </c:pt>
                <c:pt idx="37">
                  <c:v>1766</c:v>
                </c:pt>
                <c:pt idx="38">
                  <c:v>1767</c:v>
                </c:pt>
                <c:pt idx="39">
                  <c:v>1768</c:v>
                </c:pt>
                <c:pt idx="40">
                  <c:v>1769</c:v>
                </c:pt>
                <c:pt idx="41">
                  <c:v>1770</c:v>
                </c:pt>
                <c:pt idx="42">
                  <c:v>1771</c:v>
                </c:pt>
                <c:pt idx="43">
                  <c:v>1772</c:v>
                </c:pt>
                <c:pt idx="44">
                  <c:v>1773</c:v>
                </c:pt>
                <c:pt idx="45">
                  <c:v>1774</c:v>
                </c:pt>
                <c:pt idx="46">
                  <c:v>1775</c:v>
                </c:pt>
                <c:pt idx="47">
                  <c:v>1776</c:v>
                </c:pt>
                <c:pt idx="48">
                  <c:v>1777</c:v>
                </c:pt>
                <c:pt idx="49">
                  <c:v>1778</c:v>
                </c:pt>
                <c:pt idx="50">
                  <c:v>1779</c:v>
                </c:pt>
                <c:pt idx="51">
                  <c:v>1780</c:v>
                </c:pt>
                <c:pt idx="52">
                  <c:v>1781</c:v>
                </c:pt>
                <c:pt idx="53">
                  <c:v>1782</c:v>
                </c:pt>
                <c:pt idx="54">
                  <c:v>1783</c:v>
                </c:pt>
                <c:pt idx="55">
                  <c:v>1784</c:v>
                </c:pt>
                <c:pt idx="56">
                  <c:v>1785</c:v>
                </c:pt>
                <c:pt idx="57">
                  <c:v>1786</c:v>
                </c:pt>
                <c:pt idx="58">
                  <c:v>1787</c:v>
                </c:pt>
                <c:pt idx="59">
                  <c:v>1788</c:v>
                </c:pt>
                <c:pt idx="60">
                  <c:v>1789</c:v>
                </c:pt>
                <c:pt idx="61">
                  <c:v>1790</c:v>
                </c:pt>
                <c:pt idx="62">
                  <c:v>1791</c:v>
                </c:pt>
                <c:pt idx="63">
                  <c:v>1792</c:v>
                </c:pt>
                <c:pt idx="64">
                  <c:v>1793</c:v>
                </c:pt>
                <c:pt idx="65">
                  <c:v>1794</c:v>
                </c:pt>
                <c:pt idx="66">
                  <c:v>1795</c:v>
                </c:pt>
                <c:pt idx="67">
                  <c:v>1796</c:v>
                </c:pt>
                <c:pt idx="68">
                  <c:v>1797</c:v>
                </c:pt>
                <c:pt idx="69">
                  <c:v>1798</c:v>
                </c:pt>
                <c:pt idx="70">
                  <c:v>1799</c:v>
                </c:pt>
                <c:pt idx="71">
                  <c:v>1800</c:v>
                </c:pt>
                <c:pt idx="72">
                  <c:v>1801</c:v>
                </c:pt>
                <c:pt idx="73">
                  <c:v>1802</c:v>
                </c:pt>
                <c:pt idx="74">
                  <c:v>1803</c:v>
                </c:pt>
                <c:pt idx="75">
                  <c:v>1804</c:v>
                </c:pt>
                <c:pt idx="76">
                  <c:v>1805</c:v>
                </c:pt>
                <c:pt idx="77">
                  <c:v>1806</c:v>
                </c:pt>
                <c:pt idx="78">
                  <c:v>1807</c:v>
                </c:pt>
                <c:pt idx="79">
                  <c:v>1808</c:v>
                </c:pt>
                <c:pt idx="80">
                  <c:v>1809</c:v>
                </c:pt>
                <c:pt idx="81">
                  <c:v>1810</c:v>
                </c:pt>
                <c:pt idx="82">
                  <c:v>1811</c:v>
                </c:pt>
                <c:pt idx="83">
                  <c:v>1812</c:v>
                </c:pt>
                <c:pt idx="84">
                  <c:v>1813</c:v>
                </c:pt>
                <c:pt idx="85">
                  <c:v>1814</c:v>
                </c:pt>
                <c:pt idx="86">
                  <c:v>1815</c:v>
                </c:pt>
              </c:numCache>
            </c:numRef>
          </c:xVal>
          <c:yVal>
            <c:numRef>
              <c:f>'figure 2'!$R$2:$R$88</c:f>
              <c:numCache>
                <c:formatCode>0</c:formatCode>
                <c:ptCount val="87"/>
                <c:pt idx="2">
                  <c:v>4.7741878905000004</c:v>
                </c:pt>
                <c:pt idx="6">
                  <c:v>4.1209874475000001</c:v>
                </c:pt>
                <c:pt idx="16">
                  <c:v>4.0068489300000003</c:v>
                </c:pt>
                <c:pt idx="33">
                  <c:v>4.2015216949999994</c:v>
                </c:pt>
                <c:pt idx="34">
                  <c:v>4.3245307087499993</c:v>
                </c:pt>
                <c:pt idx="35">
                  <c:v>4.249504763</c:v>
                </c:pt>
                <c:pt idx="38">
                  <c:v>8.1787793240999989</c:v>
                </c:pt>
                <c:pt idx="48">
                  <c:v>6.1177137105000003</c:v>
                </c:pt>
                <c:pt idx="57">
                  <c:v>10.601767856362308</c:v>
                </c:pt>
                <c:pt idx="58">
                  <c:v>18.276205560574976</c:v>
                </c:pt>
                <c:pt idx="59">
                  <c:v>12.572337336931639</c:v>
                </c:pt>
                <c:pt idx="60">
                  <c:v>11.000405849931642</c:v>
                </c:pt>
                <c:pt idx="63">
                  <c:v>9.8821683624316421</c:v>
                </c:pt>
                <c:pt idx="64">
                  <c:v>14.400411513833333</c:v>
                </c:pt>
                <c:pt idx="65">
                  <c:v>13.15573865190577</c:v>
                </c:pt>
                <c:pt idx="66">
                  <c:v>15.92018632575</c:v>
                </c:pt>
                <c:pt idx="67">
                  <c:v>17.666848116218748</c:v>
                </c:pt>
                <c:pt idx="68">
                  <c:v>15.212691773343751</c:v>
                </c:pt>
                <c:pt idx="69">
                  <c:v>13.837095099000003</c:v>
                </c:pt>
                <c:pt idx="70">
                  <c:v>14.1333016654375</c:v>
                </c:pt>
                <c:pt idx="71">
                  <c:v>17.359921714799999</c:v>
                </c:pt>
                <c:pt idx="72">
                  <c:v>18.106124678181644</c:v>
                </c:pt>
                <c:pt idx="73">
                  <c:v>15.313636863000001</c:v>
                </c:pt>
                <c:pt idx="76">
                  <c:v>15.067322237916665</c:v>
                </c:pt>
                <c:pt idx="77">
                  <c:v>17.340630103125001</c:v>
                </c:pt>
                <c:pt idx="78">
                  <c:v>18.1805791768125</c:v>
                </c:pt>
                <c:pt idx="80">
                  <c:v>24.760617378000006</c:v>
                </c:pt>
                <c:pt idx="81">
                  <c:v>29.997571159500001</c:v>
                </c:pt>
                <c:pt idx="86">
                  <c:v>39.493489937999996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B5-45C5-84BB-1983F62DC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95104"/>
        <c:axId val="217301376"/>
      </c:scatterChart>
      <c:valAx>
        <c:axId val="217295104"/>
        <c:scaling>
          <c:orientation val="minMax"/>
          <c:max val="1820"/>
          <c:min val="1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301376"/>
        <c:crosses val="autoZero"/>
        <c:crossBetween val="midCat"/>
        <c:majorUnit val="10"/>
      </c:valAx>
      <c:valAx>
        <c:axId val="217301376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a-DK" sz="16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nominal rubles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295104"/>
        <c:crosses val="autoZero"/>
        <c:crossBetween val="midCat"/>
      </c:valAx>
      <c:spPr>
        <a:noFill/>
        <a:ln>
          <a:solidFill>
            <a:schemeClr val="tx1"/>
          </a:solidFill>
          <a:prstDash val="sysDot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3'!$C$3</c:f>
              <c:strCache>
                <c:ptCount val="1"/>
                <c:pt idx="0">
                  <c:v>semi-skilled labour (nominal wages)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>
                    <a:alpha val="95000"/>
                  </a:schemeClr>
                </a:solidFill>
              </a:ln>
              <a:effectLst/>
            </c:spPr>
          </c:marker>
          <c:cat>
            <c:numRef>
              <c:f>'figure 3'!$B$4:$B$62</c:f>
              <c:numCache>
                <c:formatCode>General</c:formatCode>
                <c:ptCount val="5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</c:numCache>
            </c:numRef>
          </c:cat>
          <c:val>
            <c:numRef>
              <c:f>'figure 3'!$C$4:$C$62</c:f>
              <c:numCache>
                <c:formatCode>0.00</c:formatCode>
                <c:ptCount val="59"/>
                <c:pt idx="1">
                  <c:v>0.02</c:v>
                </c:pt>
                <c:pt idx="2">
                  <c:v>2.3E-2</c:v>
                </c:pt>
                <c:pt idx="5">
                  <c:v>0.1</c:v>
                </c:pt>
                <c:pt idx="11">
                  <c:v>1.4545454545454545E-2</c:v>
                </c:pt>
                <c:pt idx="15">
                  <c:v>0.12</c:v>
                </c:pt>
                <c:pt idx="16">
                  <c:v>0.36085326086956526</c:v>
                </c:pt>
                <c:pt idx="18">
                  <c:v>0.15</c:v>
                </c:pt>
                <c:pt idx="19">
                  <c:v>0.24</c:v>
                </c:pt>
                <c:pt idx="21">
                  <c:v>0.5714285714285714</c:v>
                </c:pt>
                <c:pt idx="23">
                  <c:v>0.25</c:v>
                </c:pt>
                <c:pt idx="24">
                  <c:v>0.16</c:v>
                </c:pt>
                <c:pt idx="25">
                  <c:v>7.0000000000000007E-2</c:v>
                </c:pt>
                <c:pt idx="27">
                  <c:v>0.26650000000000001</c:v>
                </c:pt>
                <c:pt idx="29">
                  <c:v>0.24152499999999999</c:v>
                </c:pt>
                <c:pt idx="30">
                  <c:v>0.45305000000000001</c:v>
                </c:pt>
                <c:pt idx="31">
                  <c:v>0.32871666666666666</c:v>
                </c:pt>
                <c:pt idx="32">
                  <c:v>0.31552666666666668</c:v>
                </c:pt>
                <c:pt idx="33">
                  <c:v>0.44772000000000001</c:v>
                </c:pt>
                <c:pt idx="39">
                  <c:v>0.25</c:v>
                </c:pt>
                <c:pt idx="40">
                  <c:v>0.48333333333333339</c:v>
                </c:pt>
                <c:pt idx="41">
                  <c:v>0.40508000000000005</c:v>
                </c:pt>
                <c:pt idx="43">
                  <c:v>0.154</c:v>
                </c:pt>
                <c:pt idx="44">
                  <c:v>0.1</c:v>
                </c:pt>
                <c:pt idx="45">
                  <c:v>0.55000000000000004</c:v>
                </c:pt>
                <c:pt idx="46">
                  <c:v>0.23</c:v>
                </c:pt>
                <c:pt idx="47">
                  <c:v>0.15</c:v>
                </c:pt>
                <c:pt idx="48">
                  <c:v>0.60761999999999994</c:v>
                </c:pt>
                <c:pt idx="54">
                  <c:v>0.55000000000000004</c:v>
                </c:pt>
                <c:pt idx="57">
                  <c:v>1.35</c:v>
                </c:pt>
                <c:pt idx="58">
                  <c:v>1.375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A-4F15-89A7-3249756A30C2}"/>
            </c:ext>
          </c:extLst>
        </c:ser>
        <c:ser>
          <c:idx val="2"/>
          <c:order val="2"/>
          <c:tx>
            <c:strRef>
              <c:f>'figure 3'!$E$3</c:f>
              <c:strCache>
                <c:ptCount val="1"/>
                <c:pt idx="0">
                  <c:v>labourer (nominal wage)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tx1"/>
              </a:solidFill>
              <a:ln w="25400">
                <a:solidFill>
                  <a:schemeClr val="tx1"/>
                </a:solidFill>
              </a:ln>
              <a:effectLst/>
            </c:spPr>
          </c:marker>
          <c:cat>
            <c:numRef>
              <c:f>'figure 3'!$B$4:$B$62</c:f>
              <c:numCache>
                <c:formatCode>General</c:formatCode>
                <c:ptCount val="5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</c:numCache>
            </c:numRef>
          </c:cat>
          <c:val>
            <c:numRef>
              <c:f>'figure 3'!$E$4:$E$62</c:f>
              <c:numCache>
                <c:formatCode>0.00</c:formatCode>
                <c:ptCount val="59"/>
                <c:pt idx="0">
                  <c:v>0.06</c:v>
                </c:pt>
                <c:pt idx="3">
                  <c:v>2.5000000000000001E-2</c:v>
                </c:pt>
                <c:pt idx="4">
                  <c:v>4.4999999999999998E-2</c:v>
                </c:pt>
                <c:pt idx="6">
                  <c:v>1.6E-2</c:v>
                </c:pt>
                <c:pt idx="7">
                  <c:v>0.08</c:v>
                </c:pt>
                <c:pt idx="8">
                  <c:v>1.1999999999999999E-2</c:v>
                </c:pt>
                <c:pt idx="9">
                  <c:v>1.6666666666666666E-2</c:v>
                </c:pt>
                <c:pt idx="10">
                  <c:v>5.0000000000000001E-3</c:v>
                </c:pt>
                <c:pt idx="11">
                  <c:v>1.381818181818182E-2</c:v>
                </c:pt>
                <c:pt idx="12">
                  <c:v>3.833333333333333E-2</c:v>
                </c:pt>
                <c:pt idx="13">
                  <c:v>1.6666666666666666E-2</c:v>
                </c:pt>
                <c:pt idx="14">
                  <c:v>1.3000000000000001E-2</c:v>
                </c:pt>
                <c:pt idx="17">
                  <c:v>0.02</c:v>
                </c:pt>
                <c:pt idx="20">
                  <c:v>0.04</c:v>
                </c:pt>
                <c:pt idx="21">
                  <c:v>0.11333333333333333</c:v>
                </c:pt>
                <c:pt idx="24">
                  <c:v>0.05</c:v>
                </c:pt>
                <c:pt idx="25">
                  <c:v>0.05</c:v>
                </c:pt>
                <c:pt idx="26">
                  <c:v>0.08</c:v>
                </c:pt>
                <c:pt idx="28">
                  <c:v>0.2</c:v>
                </c:pt>
                <c:pt idx="29">
                  <c:v>0.17666666666666667</c:v>
                </c:pt>
                <c:pt idx="30">
                  <c:v>0.15846874999999996</c:v>
                </c:pt>
                <c:pt idx="31">
                  <c:v>0.12999999999999998</c:v>
                </c:pt>
                <c:pt idx="32">
                  <c:v>0.14466666666666667</c:v>
                </c:pt>
                <c:pt idx="34">
                  <c:v>0.14083333333333334</c:v>
                </c:pt>
                <c:pt idx="35">
                  <c:v>0.13571428571428573</c:v>
                </c:pt>
                <c:pt idx="36">
                  <c:v>0.1</c:v>
                </c:pt>
                <c:pt idx="37">
                  <c:v>0.18333333333333335</c:v>
                </c:pt>
                <c:pt idx="38">
                  <c:v>0.14083333333333334</c:v>
                </c:pt>
                <c:pt idx="39">
                  <c:v>0.16499999999999998</c:v>
                </c:pt>
                <c:pt idx="40">
                  <c:v>0.170375</c:v>
                </c:pt>
                <c:pt idx="42">
                  <c:v>0.11166666666666665</c:v>
                </c:pt>
                <c:pt idx="43">
                  <c:v>0.25</c:v>
                </c:pt>
                <c:pt idx="45">
                  <c:v>0.25</c:v>
                </c:pt>
                <c:pt idx="47">
                  <c:v>0.1</c:v>
                </c:pt>
                <c:pt idx="48">
                  <c:v>0.22750000000000004</c:v>
                </c:pt>
                <c:pt idx="5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A-4F15-89A7-3249756A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47711"/>
        <c:axId val="357364511"/>
      </c:lineChart>
      <c:lineChart>
        <c:grouping val="standard"/>
        <c:varyColors val="0"/>
        <c:ser>
          <c:idx val="1"/>
          <c:order val="1"/>
          <c:tx>
            <c:strRef>
              <c:f>'figure 3'!$D$3</c:f>
              <c:strCache>
                <c:ptCount val="1"/>
                <c:pt idx="0">
                  <c:v>semi-skilled labour (silver)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ash"/>
            <c:size val="11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3'!$B$4:$B$62</c:f>
              <c:numCache>
                <c:formatCode>General</c:formatCode>
                <c:ptCount val="5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</c:numCache>
            </c:numRef>
          </c:cat>
          <c:val>
            <c:numRef>
              <c:f>'figure 3'!$D$4:$D$62</c:f>
              <c:numCache>
                <c:formatCode>0.00</c:formatCode>
                <c:ptCount val="59"/>
                <c:pt idx="1">
                  <c:v>4.9440000000000005E-3</c:v>
                </c:pt>
                <c:pt idx="2">
                  <c:v>5.6557000000000005E-3</c:v>
                </c:pt>
                <c:pt idx="5">
                  <c:v>2.4590000000000001E-2</c:v>
                </c:pt>
                <c:pt idx="11">
                  <c:v>3.5985454545454545E-3</c:v>
                </c:pt>
                <c:pt idx="15">
                  <c:v>2.9687999999999999E-2</c:v>
                </c:pt>
                <c:pt idx="16">
                  <c:v>8.927509673913045E-2</c:v>
                </c:pt>
                <c:pt idx="18">
                  <c:v>3.7109999999999997E-2</c:v>
                </c:pt>
                <c:pt idx="19">
                  <c:v>5.9375999999999998E-2</c:v>
                </c:pt>
                <c:pt idx="21">
                  <c:v>0.10285714285714284</c:v>
                </c:pt>
                <c:pt idx="23">
                  <c:v>4.4999999999999998E-2</c:v>
                </c:pt>
                <c:pt idx="24">
                  <c:v>2.8799999999999999E-2</c:v>
                </c:pt>
                <c:pt idx="25">
                  <c:v>1.2475247524752476E-2</c:v>
                </c:pt>
                <c:pt idx="27">
                  <c:v>4.7969999999999999E-2</c:v>
                </c:pt>
                <c:pt idx="29">
                  <c:v>4.3044059405940589E-2</c:v>
                </c:pt>
                <c:pt idx="30">
                  <c:v>8.0741584158415841E-2</c:v>
                </c:pt>
                <c:pt idx="31">
                  <c:v>5.8583168316831677E-2</c:v>
                </c:pt>
                <c:pt idx="32">
                  <c:v>5.6232475247524755E-2</c:v>
                </c:pt>
                <c:pt idx="33">
                  <c:v>7.9791683168316835E-2</c:v>
                </c:pt>
                <c:pt idx="39">
                  <c:v>3.9130434782608699E-2</c:v>
                </c:pt>
                <c:pt idx="40">
                  <c:v>7.0731707317073178E-2</c:v>
                </c:pt>
                <c:pt idx="41">
                  <c:v>5.7868571428571429E-2</c:v>
                </c:pt>
                <c:pt idx="43">
                  <c:v>1.8986301369863012E-2</c:v>
                </c:pt>
                <c:pt idx="44">
                  <c:v>1.2676056338028169E-2</c:v>
                </c:pt>
                <c:pt idx="45">
                  <c:v>7.857142857142857E-2</c:v>
                </c:pt>
                <c:pt idx="46">
                  <c:v>3.0218978102189781E-2</c:v>
                </c:pt>
                <c:pt idx="47">
                  <c:v>1.7880794701986755E-2</c:v>
                </c:pt>
                <c:pt idx="48">
                  <c:v>7.2431523178807938E-2</c:v>
                </c:pt>
                <c:pt idx="54">
                  <c:v>6.6442953020134227E-2</c:v>
                </c:pt>
                <c:pt idx="57">
                  <c:v>8.0190000000000011E-2</c:v>
                </c:pt>
                <c:pt idx="58">
                  <c:v>6.5339999999999995E-2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A-4F15-89A7-3249756A30C2}"/>
            </c:ext>
          </c:extLst>
        </c:ser>
        <c:ser>
          <c:idx val="3"/>
          <c:order val="3"/>
          <c:tx>
            <c:strRef>
              <c:f>'figure 3'!$F$3</c:f>
              <c:strCache>
                <c:ptCount val="1"/>
                <c:pt idx="0">
                  <c:v>labourer (silver)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2">
                  <a:lumMod val="50000"/>
                </a:schemeClr>
              </a:solidFill>
              <a:ln w="25400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cat>
            <c:numRef>
              <c:f>'figure 3'!$B$4:$B$62</c:f>
              <c:numCache>
                <c:formatCode>General</c:formatCode>
                <c:ptCount val="59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</c:numCache>
            </c:numRef>
          </c:cat>
          <c:val>
            <c:numRef>
              <c:f>'figure 3'!$F$4:$F$62</c:f>
              <c:numCache>
                <c:formatCode>0.00</c:formatCode>
                <c:ptCount val="59"/>
                <c:pt idx="0">
                  <c:v>1.4832E-2</c:v>
                </c:pt>
                <c:pt idx="3">
                  <c:v>6.1475000000000002E-3</c:v>
                </c:pt>
                <c:pt idx="4">
                  <c:v>1.1065500000000001E-2</c:v>
                </c:pt>
                <c:pt idx="6">
                  <c:v>3.9344000000000002E-3</c:v>
                </c:pt>
                <c:pt idx="7">
                  <c:v>1.9792000000000001E-2</c:v>
                </c:pt>
                <c:pt idx="8">
                  <c:v>2.9687999999999997E-3</c:v>
                </c:pt>
                <c:pt idx="9">
                  <c:v>4.123333333333333E-3</c:v>
                </c:pt>
                <c:pt idx="10">
                  <c:v>1.237E-3</c:v>
                </c:pt>
                <c:pt idx="11">
                  <c:v>3.4186181818181825E-3</c:v>
                </c:pt>
                <c:pt idx="12">
                  <c:v>9.4836666666666663E-3</c:v>
                </c:pt>
                <c:pt idx="13">
                  <c:v>4.123333333333333E-3</c:v>
                </c:pt>
                <c:pt idx="14">
                  <c:v>3.2162000000000002E-3</c:v>
                </c:pt>
                <c:pt idx="17">
                  <c:v>4.9480000000000001E-3</c:v>
                </c:pt>
                <c:pt idx="20">
                  <c:v>9.8960000000000003E-3</c:v>
                </c:pt>
                <c:pt idx="21">
                  <c:v>2.0399999999999998E-2</c:v>
                </c:pt>
                <c:pt idx="24">
                  <c:v>8.9999999999999993E-3</c:v>
                </c:pt>
                <c:pt idx="25">
                  <c:v>8.9108910891089101E-3</c:v>
                </c:pt>
                <c:pt idx="26">
                  <c:v>1.4117647058823528E-2</c:v>
                </c:pt>
                <c:pt idx="28">
                  <c:v>3.5643564356435641E-2</c:v>
                </c:pt>
                <c:pt idx="29">
                  <c:v>3.1485148514851485E-2</c:v>
                </c:pt>
                <c:pt idx="30">
                  <c:v>2.8241955445544545E-2</c:v>
                </c:pt>
                <c:pt idx="31">
                  <c:v>2.3168316831683165E-2</c:v>
                </c:pt>
                <c:pt idx="32">
                  <c:v>2.5782178217821781E-2</c:v>
                </c:pt>
                <c:pt idx="34">
                  <c:v>2.4852941176470588E-2</c:v>
                </c:pt>
                <c:pt idx="35">
                  <c:v>2.3949579831932771E-2</c:v>
                </c:pt>
                <c:pt idx="36">
                  <c:v>1.7475728155339806E-2</c:v>
                </c:pt>
                <c:pt idx="37">
                  <c:v>3.0555555555555555E-2</c:v>
                </c:pt>
                <c:pt idx="38">
                  <c:v>2.3256880733944951E-2</c:v>
                </c:pt>
                <c:pt idx="39">
                  <c:v>2.5826086956521738E-2</c:v>
                </c:pt>
                <c:pt idx="40">
                  <c:v>2.4932926829268291E-2</c:v>
                </c:pt>
                <c:pt idx="42">
                  <c:v>1.4255319148936168E-2</c:v>
                </c:pt>
                <c:pt idx="43">
                  <c:v>3.0821917808219176E-2</c:v>
                </c:pt>
                <c:pt idx="45">
                  <c:v>3.5714285714285712E-2</c:v>
                </c:pt>
                <c:pt idx="47">
                  <c:v>1.1920529801324504E-2</c:v>
                </c:pt>
                <c:pt idx="48">
                  <c:v>2.7119205298013253E-2</c:v>
                </c:pt>
                <c:pt idx="54">
                  <c:v>4.832214765100671E-2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BA-4F15-89A7-3249756A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47231"/>
        <c:axId val="357346751"/>
      </c:lineChart>
      <c:catAx>
        <c:axId val="357347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64511"/>
        <c:crosses val="autoZero"/>
        <c:auto val="1"/>
        <c:lblAlgn val="ctr"/>
        <c:lblOffset val="100"/>
        <c:noMultiLvlLbl val="0"/>
      </c:catAx>
      <c:valAx>
        <c:axId val="357364511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>
                    <a:solidFill>
                      <a:schemeClr val="tx1"/>
                    </a:solidFill>
                  </a:rPr>
                  <a:t>nomimal</a:t>
                </a:r>
                <a:r>
                  <a:rPr lang="it-IT" sz="1400" baseline="0">
                    <a:solidFill>
                      <a:schemeClr val="tx1"/>
                    </a:solidFill>
                  </a:rPr>
                  <a:t> wages</a:t>
                </a:r>
                <a:endParaRPr lang="it-IT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47711"/>
        <c:crosses val="autoZero"/>
        <c:crossBetween val="between"/>
      </c:valAx>
      <c:valAx>
        <c:axId val="357346751"/>
        <c:scaling>
          <c:orientation val="minMax"/>
          <c:max val="1.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>
                    <a:solidFill>
                      <a:schemeClr val="tx1"/>
                    </a:solidFill>
                  </a:rPr>
                  <a:t>wages</a:t>
                </a:r>
                <a:r>
                  <a:rPr lang="it-IT" sz="1400" baseline="0">
                    <a:solidFill>
                      <a:schemeClr val="tx1"/>
                    </a:solidFill>
                  </a:rPr>
                  <a:t> in silver</a:t>
                </a:r>
                <a:endParaRPr lang="it-IT" sz="14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47231"/>
        <c:crosses val="max"/>
        <c:crossBetween val="between"/>
      </c:valAx>
      <c:catAx>
        <c:axId val="35734723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1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3573467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3'!$AA$3</c:f>
              <c:strCache>
                <c:ptCount val="1"/>
                <c:pt idx="0">
                  <c:v>semi-skilled labour (nominal wages)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cat>
          <c:val>
            <c:numRef>
              <c:f>'figure 3'!$AA$4:$AA$67</c:f>
            </c:numRef>
          </c:val>
          <c:smooth val="0"/>
          <c:extLst>
            <c:ext xmlns:c16="http://schemas.microsoft.com/office/drawing/2014/chart" uri="{C3380CC4-5D6E-409C-BE32-E72D297353CC}">
              <c16:uniqueId val="{00000000-63FC-430C-89EC-5F3466B88793}"/>
            </c:ext>
          </c:extLst>
        </c:ser>
        <c:ser>
          <c:idx val="1"/>
          <c:order val="1"/>
          <c:tx>
            <c:strRef>
              <c:f>'figure 3'!$AB$3</c:f>
              <c:strCache>
                <c:ptCount val="1"/>
                <c:pt idx="0">
                  <c:v>semi-skilled labour (silver)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cat>
          <c:val>
            <c:numRef>
              <c:f>'figure 3'!$AB$4:$AB$67</c:f>
              <c:numCache>
                <c:formatCode>General</c:formatCode>
                <c:ptCount val="64"/>
                <c:pt idx="1">
                  <c:v>4.9440000000000005E-3</c:v>
                </c:pt>
                <c:pt idx="2">
                  <c:v>5.6557000000000005E-3</c:v>
                </c:pt>
                <c:pt idx="5">
                  <c:v>2.4590000000000001E-2</c:v>
                </c:pt>
                <c:pt idx="11">
                  <c:v>3.5985454545454545E-3</c:v>
                </c:pt>
                <c:pt idx="15">
                  <c:v>2.9687999999999999E-2</c:v>
                </c:pt>
                <c:pt idx="16">
                  <c:v>8.927509673913045E-2</c:v>
                </c:pt>
                <c:pt idx="18">
                  <c:v>3.7109999999999997E-2</c:v>
                </c:pt>
                <c:pt idx="19">
                  <c:v>5.9375999999999998E-2</c:v>
                </c:pt>
                <c:pt idx="21">
                  <c:v>0.10285714285714284</c:v>
                </c:pt>
                <c:pt idx="23">
                  <c:v>4.4999999999999998E-2</c:v>
                </c:pt>
                <c:pt idx="24">
                  <c:v>2.8799999999999999E-2</c:v>
                </c:pt>
                <c:pt idx="25">
                  <c:v>1.2475247524752476E-2</c:v>
                </c:pt>
                <c:pt idx="27">
                  <c:v>4.7969999999999999E-2</c:v>
                </c:pt>
                <c:pt idx="29">
                  <c:v>4.3044059405940589E-2</c:v>
                </c:pt>
                <c:pt idx="30">
                  <c:v>8.0741584158415841E-2</c:v>
                </c:pt>
                <c:pt idx="31">
                  <c:v>5.8583168316831677E-2</c:v>
                </c:pt>
                <c:pt idx="32">
                  <c:v>5.6232475247524755E-2</c:v>
                </c:pt>
                <c:pt idx="33">
                  <c:v>7.9791683168316835E-2</c:v>
                </c:pt>
                <c:pt idx="39">
                  <c:v>3.9130434782608699E-2</c:v>
                </c:pt>
                <c:pt idx="40">
                  <c:v>7.0731707317073178E-2</c:v>
                </c:pt>
                <c:pt idx="41">
                  <c:v>5.7868571428571429E-2</c:v>
                </c:pt>
                <c:pt idx="43">
                  <c:v>1.8986301369863012E-2</c:v>
                </c:pt>
                <c:pt idx="44">
                  <c:v>1.2676056338028169E-2</c:v>
                </c:pt>
                <c:pt idx="45">
                  <c:v>7.857142857142857E-2</c:v>
                </c:pt>
                <c:pt idx="46">
                  <c:v>3.0218978102189781E-2</c:v>
                </c:pt>
                <c:pt idx="47">
                  <c:v>1.7880794701986755E-2</c:v>
                </c:pt>
                <c:pt idx="48">
                  <c:v>7.2431523178807938E-2</c:v>
                </c:pt>
                <c:pt idx="54">
                  <c:v>6.6442953020134227E-2</c:v>
                </c:pt>
                <c:pt idx="57">
                  <c:v>8.0190000000000011E-2</c:v>
                </c:pt>
                <c:pt idx="58">
                  <c:v>6.5339999999999995E-2</c:v>
                </c:pt>
                <c:pt idx="6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C-430C-89EC-5F3466B88793}"/>
            </c:ext>
          </c:extLst>
        </c:ser>
        <c:ser>
          <c:idx val="2"/>
          <c:order val="2"/>
          <c:tx>
            <c:strRef>
              <c:f>'figure 3'!$AC$3</c:f>
              <c:strCache>
                <c:ptCount val="1"/>
                <c:pt idx="0">
                  <c:v>labourer (nominal wage)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cat>
          <c:val>
            <c:numRef>
              <c:f>'figure 3'!$AC$4:$AC$67</c:f>
            </c:numRef>
          </c:val>
          <c:smooth val="0"/>
          <c:extLst>
            <c:ext xmlns:c16="http://schemas.microsoft.com/office/drawing/2014/chart" uri="{C3380CC4-5D6E-409C-BE32-E72D297353CC}">
              <c16:uniqueId val="{00000002-63FC-430C-89EC-5F3466B88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98831"/>
        <c:axId val="474801711"/>
      </c:lineChart>
      <c:lineChart>
        <c:grouping val="standard"/>
        <c:varyColors val="0"/>
        <c:ser>
          <c:idx val="3"/>
          <c:order val="3"/>
          <c:tx>
            <c:strRef>
              <c:f>'figure 3'!$AD$3</c:f>
              <c:strCache>
                <c:ptCount val="1"/>
                <c:pt idx="0">
                  <c:v>labourer (silver)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cat>
          <c:val>
            <c:numRef>
              <c:f>'figure 3'!$AD$4:$AD$67</c:f>
              <c:numCache>
                <c:formatCode>General</c:formatCode>
                <c:ptCount val="64"/>
                <c:pt idx="0">
                  <c:v>1.4832E-2</c:v>
                </c:pt>
                <c:pt idx="3">
                  <c:v>6.1475000000000002E-3</c:v>
                </c:pt>
                <c:pt idx="4">
                  <c:v>1.1065500000000001E-2</c:v>
                </c:pt>
                <c:pt idx="6">
                  <c:v>3.9344000000000002E-3</c:v>
                </c:pt>
                <c:pt idx="7">
                  <c:v>1.9792000000000001E-2</c:v>
                </c:pt>
                <c:pt idx="8">
                  <c:v>2.9687999999999997E-3</c:v>
                </c:pt>
                <c:pt idx="9">
                  <c:v>4.123333333333333E-3</c:v>
                </c:pt>
                <c:pt idx="10">
                  <c:v>1.237E-3</c:v>
                </c:pt>
                <c:pt idx="11">
                  <c:v>3.4186181818181825E-3</c:v>
                </c:pt>
                <c:pt idx="12">
                  <c:v>9.4836666666666663E-3</c:v>
                </c:pt>
                <c:pt idx="13">
                  <c:v>4.123333333333333E-3</c:v>
                </c:pt>
                <c:pt idx="14">
                  <c:v>3.2162000000000002E-3</c:v>
                </c:pt>
                <c:pt idx="17">
                  <c:v>4.9480000000000001E-3</c:v>
                </c:pt>
                <c:pt idx="20">
                  <c:v>9.8960000000000003E-3</c:v>
                </c:pt>
                <c:pt idx="21">
                  <c:v>2.0399999999999998E-2</c:v>
                </c:pt>
                <c:pt idx="24">
                  <c:v>8.9999999999999993E-3</c:v>
                </c:pt>
                <c:pt idx="25">
                  <c:v>8.9108910891089101E-3</c:v>
                </c:pt>
                <c:pt idx="26">
                  <c:v>1.4117647058823528E-2</c:v>
                </c:pt>
                <c:pt idx="28">
                  <c:v>3.5643564356435641E-2</c:v>
                </c:pt>
                <c:pt idx="29">
                  <c:v>3.1485148514851485E-2</c:v>
                </c:pt>
                <c:pt idx="30">
                  <c:v>2.8241955445544545E-2</c:v>
                </c:pt>
                <c:pt idx="31">
                  <c:v>2.3168316831683165E-2</c:v>
                </c:pt>
                <c:pt idx="32">
                  <c:v>2.5782178217821781E-2</c:v>
                </c:pt>
                <c:pt idx="34">
                  <c:v>2.4852941176470588E-2</c:v>
                </c:pt>
                <c:pt idx="35">
                  <c:v>2.3949579831932771E-2</c:v>
                </c:pt>
                <c:pt idx="36">
                  <c:v>1.7475728155339806E-2</c:v>
                </c:pt>
                <c:pt idx="37">
                  <c:v>3.0555555555555555E-2</c:v>
                </c:pt>
                <c:pt idx="38">
                  <c:v>2.3256880733944951E-2</c:v>
                </c:pt>
                <c:pt idx="39">
                  <c:v>2.5826086956521738E-2</c:v>
                </c:pt>
                <c:pt idx="40">
                  <c:v>2.4932926829268291E-2</c:v>
                </c:pt>
                <c:pt idx="42">
                  <c:v>1.4255319148936168E-2</c:v>
                </c:pt>
                <c:pt idx="43">
                  <c:v>3.0821917808219176E-2</c:v>
                </c:pt>
                <c:pt idx="45">
                  <c:v>3.5714285714285712E-2</c:v>
                </c:pt>
                <c:pt idx="47">
                  <c:v>1.1920529801324504E-2</c:v>
                </c:pt>
                <c:pt idx="48">
                  <c:v>2.7119205298013253E-2</c:v>
                </c:pt>
                <c:pt idx="54">
                  <c:v>4.832214765100671E-2</c:v>
                </c:pt>
                <c:pt idx="63">
                  <c:v>6.6960000000000006E-2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FC-430C-89EC-5F3466B88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72879"/>
        <c:axId val="785671439"/>
      </c:lineChart>
      <c:catAx>
        <c:axId val="474798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01711"/>
        <c:crosses val="autoZero"/>
        <c:auto val="1"/>
        <c:lblAlgn val="ctr"/>
        <c:lblOffset val="100"/>
        <c:noMultiLvlLbl val="0"/>
      </c:catAx>
      <c:valAx>
        <c:axId val="47480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798831"/>
        <c:crosses val="autoZero"/>
        <c:crossBetween val="between"/>
      </c:valAx>
      <c:valAx>
        <c:axId val="7856714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672879"/>
        <c:crosses val="max"/>
        <c:crossBetween val="between"/>
      </c:valAx>
      <c:catAx>
        <c:axId val="785672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6714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3'!$AA$3</c:f>
              <c:strCache>
                <c:ptCount val="1"/>
                <c:pt idx="0">
                  <c:v>semi-skilled labour (nominal wages)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  <a:effectLst/>
            </c:spPr>
          </c:marker>
          <c:xVal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xVal>
          <c:yVal>
            <c:numRef>
              <c:f>'figure 3'!$AA$4:$AA$67</c:f>
            </c:numRef>
          </c:yVal>
          <c:smooth val="0"/>
          <c:extLst>
            <c:ext xmlns:c16="http://schemas.microsoft.com/office/drawing/2014/chart" uri="{C3380CC4-5D6E-409C-BE32-E72D297353CC}">
              <c16:uniqueId val="{00000000-D6B1-4C64-BD87-4555E1BAEC38}"/>
            </c:ext>
          </c:extLst>
        </c:ser>
        <c:ser>
          <c:idx val="1"/>
          <c:order val="1"/>
          <c:tx>
            <c:strRef>
              <c:f>'figure 3'!$AB$3</c:f>
              <c:strCache>
                <c:ptCount val="1"/>
                <c:pt idx="0">
                  <c:v>semi-skilled labour (silver)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xVal>
          <c:yVal>
            <c:numRef>
              <c:f>'figure 3'!$AB$4:$AB$67</c:f>
              <c:numCache>
                <c:formatCode>General</c:formatCode>
                <c:ptCount val="64"/>
                <c:pt idx="1">
                  <c:v>4.9440000000000005E-3</c:v>
                </c:pt>
                <c:pt idx="2">
                  <c:v>5.6557000000000005E-3</c:v>
                </c:pt>
                <c:pt idx="5">
                  <c:v>2.4590000000000001E-2</c:v>
                </c:pt>
                <c:pt idx="11">
                  <c:v>3.5985454545454545E-3</c:v>
                </c:pt>
                <c:pt idx="15">
                  <c:v>2.9687999999999999E-2</c:v>
                </c:pt>
                <c:pt idx="16">
                  <c:v>8.927509673913045E-2</c:v>
                </c:pt>
                <c:pt idx="18">
                  <c:v>3.7109999999999997E-2</c:v>
                </c:pt>
                <c:pt idx="19">
                  <c:v>5.9375999999999998E-2</c:v>
                </c:pt>
                <c:pt idx="21">
                  <c:v>0.10285714285714284</c:v>
                </c:pt>
                <c:pt idx="23">
                  <c:v>4.4999999999999998E-2</c:v>
                </c:pt>
                <c:pt idx="24">
                  <c:v>2.8799999999999999E-2</c:v>
                </c:pt>
                <c:pt idx="25">
                  <c:v>1.2475247524752476E-2</c:v>
                </c:pt>
                <c:pt idx="27">
                  <c:v>4.7969999999999999E-2</c:v>
                </c:pt>
                <c:pt idx="29">
                  <c:v>4.3044059405940589E-2</c:v>
                </c:pt>
                <c:pt idx="30">
                  <c:v>8.0741584158415841E-2</c:v>
                </c:pt>
                <c:pt idx="31">
                  <c:v>5.8583168316831677E-2</c:v>
                </c:pt>
                <c:pt idx="32">
                  <c:v>5.6232475247524755E-2</c:v>
                </c:pt>
                <c:pt idx="33">
                  <c:v>7.9791683168316835E-2</c:v>
                </c:pt>
                <c:pt idx="39">
                  <c:v>3.9130434782608699E-2</c:v>
                </c:pt>
                <c:pt idx="40">
                  <c:v>7.0731707317073178E-2</c:v>
                </c:pt>
                <c:pt idx="41">
                  <c:v>5.7868571428571429E-2</c:v>
                </c:pt>
                <c:pt idx="43">
                  <c:v>1.8986301369863012E-2</c:v>
                </c:pt>
                <c:pt idx="44">
                  <c:v>1.2676056338028169E-2</c:v>
                </c:pt>
                <c:pt idx="45">
                  <c:v>7.857142857142857E-2</c:v>
                </c:pt>
                <c:pt idx="46">
                  <c:v>3.0218978102189781E-2</c:v>
                </c:pt>
                <c:pt idx="47">
                  <c:v>1.7880794701986755E-2</c:v>
                </c:pt>
                <c:pt idx="48">
                  <c:v>7.2431523178807938E-2</c:v>
                </c:pt>
                <c:pt idx="54">
                  <c:v>6.6442953020134227E-2</c:v>
                </c:pt>
                <c:pt idx="57">
                  <c:v>8.0190000000000011E-2</c:v>
                </c:pt>
                <c:pt idx="58">
                  <c:v>6.5339999999999995E-2</c:v>
                </c:pt>
                <c:pt idx="63">
                  <c:v>0.09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B1-4C64-BD87-4555E1BAEC38}"/>
            </c:ext>
          </c:extLst>
        </c:ser>
        <c:ser>
          <c:idx val="2"/>
          <c:order val="2"/>
          <c:tx>
            <c:strRef>
              <c:f>'figure 3'!$AC$3</c:f>
              <c:strCache>
                <c:ptCount val="1"/>
                <c:pt idx="0">
                  <c:v>labourer (nominal wage)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  <a:ln w="57150" cap="sq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  <a:effectLst/>
            </c:spPr>
          </c:marker>
          <c:xVal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xVal>
          <c:yVal>
            <c:numRef>
              <c:f>'figure 3'!$AC$4:$AC$67</c:f>
            </c:numRef>
          </c:yVal>
          <c:smooth val="0"/>
          <c:extLst>
            <c:ext xmlns:c16="http://schemas.microsoft.com/office/drawing/2014/chart" uri="{C3380CC4-5D6E-409C-BE32-E72D297353CC}">
              <c16:uniqueId val="{00000002-D6B1-4C64-BD87-4555E1BAEC38}"/>
            </c:ext>
          </c:extLst>
        </c:ser>
        <c:ser>
          <c:idx val="3"/>
          <c:order val="3"/>
          <c:tx>
            <c:strRef>
              <c:f>'figure 3'!$AD$3</c:f>
              <c:strCache>
                <c:ptCount val="1"/>
                <c:pt idx="0">
                  <c:v>labourer (silver)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'figure 3'!$Z$4:$Z$67</c:f>
              <c:numCache>
                <c:formatCode>General</c:formatCode>
                <c:ptCount val="64"/>
                <c:pt idx="0">
                  <c:v>1701</c:v>
                </c:pt>
                <c:pt idx="1">
                  <c:v>1704</c:v>
                </c:pt>
                <c:pt idx="2">
                  <c:v>1718</c:v>
                </c:pt>
                <c:pt idx="3">
                  <c:v>1722</c:v>
                </c:pt>
                <c:pt idx="4">
                  <c:v>1724</c:v>
                </c:pt>
                <c:pt idx="5">
                  <c:v>1726</c:v>
                </c:pt>
                <c:pt idx="6">
                  <c:v>1729</c:v>
                </c:pt>
                <c:pt idx="7">
                  <c:v>1730</c:v>
                </c:pt>
                <c:pt idx="8">
                  <c:v>1731</c:v>
                </c:pt>
                <c:pt idx="9">
                  <c:v>1734</c:v>
                </c:pt>
                <c:pt idx="10">
                  <c:v>1736</c:v>
                </c:pt>
                <c:pt idx="11">
                  <c:v>1737</c:v>
                </c:pt>
                <c:pt idx="12">
                  <c:v>1738</c:v>
                </c:pt>
                <c:pt idx="13">
                  <c:v>1739</c:v>
                </c:pt>
                <c:pt idx="14">
                  <c:v>1740</c:v>
                </c:pt>
                <c:pt idx="15">
                  <c:v>1741</c:v>
                </c:pt>
                <c:pt idx="16">
                  <c:v>1749</c:v>
                </c:pt>
                <c:pt idx="17">
                  <c:v>1756</c:v>
                </c:pt>
                <c:pt idx="18">
                  <c:v>1757</c:v>
                </c:pt>
                <c:pt idx="19">
                  <c:v>1759</c:v>
                </c:pt>
                <c:pt idx="20">
                  <c:v>1762</c:v>
                </c:pt>
                <c:pt idx="21">
                  <c:v>1764</c:v>
                </c:pt>
                <c:pt idx="22">
                  <c:v>1765</c:v>
                </c:pt>
                <c:pt idx="23">
                  <c:v>1766</c:v>
                </c:pt>
                <c:pt idx="24">
                  <c:v>1767</c:v>
                </c:pt>
                <c:pt idx="25">
                  <c:v>1769</c:v>
                </c:pt>
                <c:pt idx="26">
                  <c:v>1772</c:v>
                </c:pt>
                <c:pt idx="27">
                  <c:v>1773</c:v>
                </c:pt>
                <c:pt idx="28">
                  <c:v>1776</c:v>
                </c:pt>
                <c:pt idx="29">
                  <c:v>1777</c:v>
                </c:pt>
                <c:pt idx="30">
                  <c:v>1778</c:v>
                </c:pt>
                <c:pt idx="31">
                  <c:v>1779</c:v>
                </c:pt>
                <c:pt idx="32">
                  <c:v>1780</c:v>
                </c:pt>
                <c:pt idx="33">
                  <c:v>1781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1793</c:v>
                </c:pt>
                <c:pt idx="43">
                  <c:v>1794</c:v>
                </c:pt>
                <c:pt idx="44">
                  <c:v>1795</c:v>
                </c:pt>
                <c:pt idx="45">
                  <c:v>1796</c:v>
                </c:pt>
                <c:pt idx="46">
                  <c:v>1797</c:v>
                </c:pt>
                <c:pt idx="47">
                  <c:v>1798</c:v>
                </c:pt>
                <c:pt idx="48">
                  <c:v>1800</c:v>
                </c:pt>
                <c:pt idx="49">
                  <c:v>1801</c:v>
                </c:pt>
                <c:pt idx="50">
                  <c:v>1802</c:v>
                </c:pt>
                <c:pt idx="51">
                  <c:v>1803</c:v>
                </c:pt>
                <c:pt idx="52">
                  <c:v>1804</c:v>
                </c:pt>
                <c:pt idx="53">
                  <c:v>1805</c:v>
                </c:pt>
                <c:pt idx="54">
                  <c:v>1806</c:v>
                </c:pt>
                <c:pt idx="55">
                  <c:v>1807</c:v>
                </c:pt>
                <c:pt idx="56">
                  <c:v>1808</c:v>
                </c:pt>
                <c:pt idx="57">
                  <c:v>1809</c:v>
                </c:pt>
                <c:pt idx="58">
                  <c:v>1810</c:v>
                </c:pt>
                <c:pt idx="59">
                  <c:v>1811</c:v>
                </c:pt>
                <c:pt idx="60">
                  <c:v>1812</c:v>
                </c:pt>
                <c:pt idx="61">
                  <c:v>1813</c:v>
                </c:pt>
                <c:pt idx="62">
                  <c:v>1814</c:v>
                </c:pt>
                <c:pt idx="63">
                  <c:v>1815</c:v>
                </c:pt>
              </c:numCache>
            </c:numRef>
          </c:xVal>
          <c:yVal>
            <c:numRef>
              <c:f>'figure 3'!$AD$4:$AD$67</c:f>
              <c:numCache>
                <c:formatCode>General</c:formatCode>
                <c:ptCount val="64"/>
                <c:pt idx="0">
                  <c:v>1.4832E-2</c:v>
                </c:pt>
                <c:pt idx="3">
                  <c:v>6.1475000000000002E-3</c:v>
                </c:pt>
                <c:pt idx="4">
                  <c:v>1.1065500000000001E-2</c:v>
                </c:pt>
                <c:pt idx="6">
                  <c:v>3.9344000000000002E-3</c:v>
                </c:pt>
                <c:pt idx="7">
                  <c:v>1.9792000000000001E-2</c:v>
                </c:pt>
                <c:pt idx="8">
                  <c:v>2.9687999999999997E-3</c:v>
                </c:pt>
                <c:pt idx="9">
                  <c:v>4.123333333333333E-3</c:v>
                </c:pt>
                <c:pt idx="10">
                  <c:v>1.237E-3</c:v>
                </c:pt>
                <c:pt idx="11">
                  <c:v>3.4186181818181825E-3</c:v>
                </c:pt>
                <c:pt idx="12">
                  <c:v>9.4836666666666663E-3</c:v>
                </c:pt>
                <c:pt idx="13">
                  <c:v>4.123333333333333E-3</c:v>
                </c:pt>
                <c:pt idx="14">
                  <c:v>3.2162000000000002E-3</c:v>
                </c:pt>
                <c:pt idx="17">
                  <c:v>4.9480000000000001E-3</c:v>
                </c:pt>
                <c:pt idx="20">
                  <c:v>9.8960000000000003E-3</c:v>
                </c:pt>
                <c:pt idx="21">
                  <c:v>2.0399999999999998E-2</c:v>
                </c:pt>
                <c:pt idx="24">
                  <c:v>8.9999999999999993E-3</c:v>
                </c:pt>
                <c:pt idx="25">
                  <c:v>8.9108910891089101E-3</c:v>
                </c:pt>
                <c:pt idx="26">
                  <c:v>1.4117647058823528E-2</c:v>
                </c:pt>
                <c:pt idx="28">
                  <c:v>3.5643564356435641E-2</c:v>
                </c:pt>
                <c:pt idx="29">
                  <c:v>3.1485148514851485E-2</c:v>
                </c:pt>
                <c:pt idx="30">
                  <c:v>2.8241955445544545E-2</c:v>
                </c:pt>
                <c:pt idx="31">
                  <c:v>2.3168316831683165E-2</c:v>
                </c:pt>
                <c:pt idx="32">
                  <c:v>2.5782178217821781E-2</c:v>
                </c:pt>
                <c:pt idx="34">
                  <c:v>2.4852941176470588E-2</c:v>
                </c:pt>
                <c:pt idx="35">
                  <c:v>2.3949579831932771E-2</c:v>
                </c:pt>
                <c:pt idx="36">
                  <c:v>1.7475728155339806E-2</c:v>
                </c:pt>
                <c:pt idx="37">
                  <c:v>3.0555555555555555E-2</c:v>
                </c:pt>
                <c:pt idx="38">
                  <c:v>2.3256880733944951E-2</c:v>
                </c:pt>
                <c:pt idx="39">
                  <c:v>2.5826086956521738E-2</c:v>
                </c:pt>
                <c:pt idx="40">
                  <c:v>2.4932926829268291E-2</c:v>
                </c:pt>
                <c:pt idx="42">
                  <c:v>1.4255319148936168E-2</c:v>
                </c:pt>
                <c:pt idx="43">
                  <c:v>3.0821917808219176E-2</c:v>
                </c:pt>
                <c:pt idx="45">
                  <c:v>3.5714285714285712E-2</c:v>
                </c:pt>
                <c:pt idx="47">
                  <c:v>1.1920529801324504E-2</c:v>
                </c:pt>
                <c:pt idx="48">
                  <c:v>2.7119205298013253E-2</c:v>
                </c:pt>
                <c:pt idx="54">
                  <c:v>4.832214765100671E-2</c:v>
                </c:pt>
                <c:pt idx="63">
                  <c:v>6.6960000000000006E-2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B1-4C64-BD87-4555E1BA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623279"/>
        <c:axId val="1440629999"/>
      </c:scatterChart>
      <c:valAx>
        <c:axId val="1440623279"/>
        <c:scaling>
          <c:orientation val="minMax"/>
          <c:max val="1820"/>
          <c:min val="1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29999"/>
        <c:crosses val="autoZero"/>
        <c:crossBetween val="midCat"/>
        <c:majorUnit val="10"/>
      </c:valAx>
      <c:valAx>
        <c:axId val="1440629999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232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3'!$I$3</c:f>
              <c:strCache>
                <c:ptCount val="1"/>
                <c:pt idx="0">
                  <c:v>Average Unskilled labor nominal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'Table 3'!$F$5:$F$46</c:f>
              <c:strCache>
                <c:ptCount val="22"/>
                <c:pt idx="0">
                  <c:v>1720е</c:v>
                </c:pt>
                <c:pt idx="1">
                  <c:v>1730е</c:v>
                </c:pt>
                <c:pt idx="2">
                  <c:v>1740е</c:v>
                </c:pt>
                <c:pt idx="3">
                  <c:v>1750е</c:v>
                </c:pt>
                <c:pt idx="4">
                  <c:v>1760е</c:v>
                </c:pt>
                <c:pt idx="5">
                  <c:v>1770е</c:v>
                </c:pt>
                <c:pt idx="6">
                  <c:v>1780е</c:v>
                </c:pt>
                <c:pt idx="7">
                  <c:v>1790е</c:v>
                </c:pt>
                <c:pt idx="8">
                  <c:v>1800s</c:v>
                </c:pt>
                <c:pt idx="9">
                  <c:v>1810s</c:v>
                </c:pt>
                <c:pt idx="11">
                  <c:v>1710s</c:v>
                </c:pt>
                <c:pt idx="12">
                  <c:v>1720s</c:v>
                </c:pt>
                <c:pt idx="13">
                  <c:v>1730s</c:v>
                </c:pt>
                <c:pt idx="14">
                  <c:v>1740s</c:v>
                </c:pt>
                <c:pt idx="15">
                  <c:v>1750s</c:v>
                </c:pt>
                <c:pt idx="16">
                  <c:v>1760s</c:v>
                </c:pt>
                <c:pt idx="17">
                  <c:v>1770s</c:v>
                </c:pt>
                <c:pt idx="18">
                  <c:v>1780s</c:v>
                </c:pt>
                <c:pt idx="19">
                  <c:v>1790s</c:v>
                </c:pt>
                <c:pt idx="20">
                  <c:v>1800s</c:v>
                </c:pt>
                <c:pt idx="21">
                  <c:v>1810s</c:v>
                </c:pt>
              </c:strCache>
            </c:strRef>
          </c:xVal>
          <c:yVal>
            <c:numRef>
              <c:f>'Table 3'!$I$5:$I$53</c:f>
              <c:numCache>
                <c:formatCode>0.00</c:formatCode>
                <c:ptCount val="49"/>
                <c:pt idx="0">
                  <c:v>2.866666666666667E-2</c:v>
                </c:pt>
                <c:pt idx="1">
                  <c:v>2.7636363636363636E-2</c:v>
                </c:pt>
                <c:pt idx="2">
                  <c:v>1.2999999999999999E-2</c:v>
                </c:pt>
                <c:pt idx="3">
                  <c:v>0.02</c:v>
                </c:pt>
                <c:pt idx="4">
                  <c:v>6.3333333333333325E-2</c:v>
                </c:pt>
                <c:pt idx="5">
                  <c:v>0.14902708333333331</c:v>
                </c:pt>
                <c:pt idx="6">
                  <c:v>0.14434013605442178</c:v>
                </c:pt>
                <c:pt idx="7">
                  <c:v>0.17640833333333333</c:v>
                </c:pt>
                <c:pt idx="8">
                  <c:v>0.34999999999999992</c:v>
                </c:pt>
                <c:pt idx="9">
                  <c:v>1.86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59-45D3-8F94-904D985C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38112"/>
        <c:axId val="216560768"/>
      </c:scatterChart>
      <c:valAx>
        <c:axId val="21653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560768"/>
        <c:crosses val="autoZero"/>
        <c:crossBetween val="midCat"/>
      </c:valAx>
      <c:valAx>
        <c:axId val="2165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53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28574</xdr:rowOff>
    </xdr:from>
    <xdr:to>
      <xdr:col>21</xdr:col>
      <xdr:colOff>552449</xdr:colOff>
      <xdr:row>37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93AA60-1FB3-395F-2A6A-30D8319B2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4</xdr:row>
      <xdr:rowOff>66674</xdr:rowOff>
    </xdr:from>
    <xdr:to>
      <xdr:col>22</xdr:col>
      <xdr:colOff>0</xdr:colOff>
      <xdr:row>36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5BE336-0CFD-5203-9583-6B989EE71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561976</xdr:colOff>
      <xdr:row>4</xdr:row>
      <xdr:rowOff>95250</xdr:rowOff>
    </xdr:from>
    <xdr:to>
      <xdr:col>37</xdr:col>
      <xdr:colOff>19050</xdr:colOff>
      <xdr:row>33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600258-BF16-C666-765D-3CB82D336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495299</xdr:colOff>
      <xdr:row>4</xdr:row>
      <xdr:rowOff>0</xdr:rowOff>
    </xdr:from>
    <xdr:to>
      <xdr:col>27</xdr:col>
      <xdr:colOff>247650</xdr:colOff>
      <xdr:row>34</xdr:row>
      <xdr:rowOff>76200</xdr:rowOff>
    </xdr:to>
    <xdr:graphicFrame macro="">
      <xdr:nvGraphicFramePr>
        <xdr:cNvPr id="2" name="Chart 1" descr="Fire">
          <a:extLst>
            <a:ext uri="{FF2B5EF4-FFF2-40B4-BE49-F238E27FC236}">
              <a16:creationId xmlns:a16="http://schemas.microsoft.com/office/drawing/2014/main" id="{14E4503A-633B-87E7-4E51-C0B9A1550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0.39116</cdr:x>
      <cdr:y>0.2526</cdr:y>
    </cdr:from>
    <cdr:to>
      <cdr:x>0.39204</cdr:x>
      <cdr:y>0.81661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BF2B112-5C16-EC1A-96A0-72F2A3354614}"/>
            </a:ext>
          </a:extLst>
        </cdr:cNvPr>
        <cdr:cNvCxnSpPr/>
      </cdr:nvCxnSpPr>
      <cdr:spPr>
        <a:xfrm xmlns:a="http://schemas.openxmlformats.org/drawingml/2006/main">
          <a:off x="4210101" y="1390655"/>
          <a:ext cx="9472" cy="31051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0.32389</cdr:x>
      <cdr:y>0.1557</cdr:y>
    </cdr:from>
    <cdr:to>
      <cdr:x>0.46106</cdr:x>
      <cdr:y>0.22491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5494EEB-4B2F-12AC-DC82-CFF8816EDA4A}"/>
            </a:ext>
          </a:extLst>
        </cdr:cNvPr>
        <cdr:cNvSpPr txBox="1"/>
      </cdr:nvSpPr>
      <cdr:spPr>
        <a:xfrm xmlns:a="http://schemas.openxmlformats.org/drawingml/2006/main">
          <a:off x="3486114" y="857223"/>
          <a:ext cx="1476395" cy="381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400"/>
            <a:t>The</a:t>
          </a:r>
          <a:r>
            <a:rPr lang="it-IT" sz="1400" baseline="0"/>
            <a:t> Fire of 1773</a:t>
          </a:r>
          <a:endParaRPr lang="it-IT" sz="1400"/>
        </a:p>
      </cdr:txBody>
    </cdr:sp>
  </cdr:relSizeAnchor>
  <cdr:relSizeAnchor xmlns:cdr="http://schemas.openxmlformats.org/drawingml/2006/chartDrawing">
    <cdr:from>
      <cdr:x>0.61238</cdr:x>
      <cdr:y>0.24049</cdr:y>
    </cdr:from>
    <cdr:to>
      <cdr:x>0.61327</cdr:x>
      <cdr:y>0.82007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3E4C21CB-463D-C02D-D782-7BC0E7E25EA7}"/>
            </a:ext>
          </a:extLst>
        </cdr:cNvPr>
        <cdr:cNvCxnSpPr/>
      </cdr:nvCxnSpPr>
      <cdr:spPr>
        <a:xfrm xmlns:a="http://schemas.openxmlformats.org/drawingml/2006/main">
          <a:off x="6591251" y="1323985"/>
          <a:ext cx="9579" cy="31908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0.55664</cdr:x>
      <cdr:y>0.2526</cdr:y>
    </cdr:from>
    <cdr:to>
      <cdr:x>0.67699</cdr:x>
      <cdr:y>0.30623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F928B86-1B27-4419-71A1-49D53225C2FD}"/>
            </a:ext>
          </a:extLst>
        </cdr:cNvPr>
        <cdr:cNvSpPr txBox="1"/>
      </cdr:nvSpPr>
      <cdr:spPr>
        <a:xfrm xmlns:a="http://schemas.openxmlformats.org/drawingml/2006/main">
          <a:off x="5991226" y="1390650"/>
          <a:ext cx="1295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0.55399</cdr:x>
      <cdr:y>0.15398</cdr:y>
    </cdr:from>
    <cdr:to>
      <cdr:x>0.68761</cdr:x>
      <cdr:y>0.21107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B397A35B-4FF4-024B-C3E4-2B1449348E2A}"/>
            </a:ext>
          </a:extLst>
        </cdr:cNvPr>
        <cdr:cNvSpPr txBox="1"/>
      </cdr:nvSpPr>
      <cdr:spPr>
        <a:xfrm xmlns:a="http://schemas.openxmlformats.org/drawingml/2006/main">
          <a:off x="5962684" y="847752"/>
          <a:ext cx="1438242" cy="314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400"/>
            <a:t>The</a:t>
          </a:r>
          <a:r>
            <a:rPr lang="it-IT" sz="1400" baseline="0"/>
            <a:t> Fire of 1812</a:t>
          </a:r>
          <a:endParaRPr lang="it-IT" sz="1400"/>
        </a:p>
      </cdr:txBody>
    </cdr:sp>
  </cdr:relSizeAnchor>
  <cdr:relSizeAnchor xmlns:cdr="http://schemas.openxmlformats.org/drawingml/2006/chartDrawing">
    <cdr:from>
      <cdr:x>0.87522</cdr:x>
      <cdr:y>0.2353</cdr:y>
    </cdr:from>
    <cdr:to>
      <cdr:x>0.87611</cdr:x>
      <cdr:y>0.81834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D2778283-6131-B6A7-DE0F-0E47727543D4}"/>
            </a:ext>
          </a:extLst>
        </cdr:cNvPr>
        <cdr:cNvCxnSpPr/>
      </cdr:nvCxnSpPr>
      <cdr:spPr>
        <a:xfrm xmlns:a="http://schemas.openxmlformats.org/drawingml/2006/main">
          <a:off x="9420214" y="1295410"/>
          <a:ext cx="9580" cy="32098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0.79115</cdr:x>
      <cdr:y>0.15052</cdr:y>
    </cdr:from>
    <cdr:to>
      <cdr:x>0.96283</cdr:x>
      <cdr:y>0.21107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3E0414DE-4FDE-3F3B-4989-3FBF4D079587}"/>
            </a:ext>
          </a:extLst>
        </cdr:cNvPr>
        <cdr:cNvSpPr txBox="1"/>
      </cdr:nvSpPr>
      <cdr:spPr>
        <a:xfrm xmlns:a="http://schemas.openxmlformats.org/drawingml/2006/main">
          <a:off x="8515351" y="828701"/>
          <a:ext cx="1847850" cy="333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400"/>
            <a:t>Abolition</a:t>
          </a:r>
          <a:r>
            <a:rPr lang="it-IT" sz="1400" baseline="0"/>
            <a:t> of Serfdom</a:t>
          </a:r>
          <a:endParaRPr lang="it-IT" sz="1400"/>
        </a:p>
      </cdr:txBody>
    </cdr:sp>
  </cdr:relSizeAnchor>
  <cdr:relSizeAnchor xmlns:cdr="http://schemas.openxmlformats.org/drawingml/2006/chartDrawing">
    <cdr:from>
      <cdr:x>0.05221</cdr:x>
      <cdr:y>0.64879</cdr:y>
    </cdr:from>
    <cdr:to>
      <cdr:x>0.9823</cdr:x>
      <cdr:y>0.65052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E580616E-525F-2A95-5634-D15D67C9E4D8}"/>
            </a:ext>
          </a:extLst>
        </cdr:cNvPr>
        <cdr:cNvCxnSpPr/>
      </cdr:nvCxnSpPr>
      <cdr:spPr>
        <a:xfrm xmlns:a="http://schemas.openxmlformats.org/drawingml/2006/main">
          <a:off x="561947" y="3571865"/>
          <a:ext cx="10010793" cy="9525"/>
        </a:xfrm>
        <a:prstGeom xmlns:a="http://schemas.openxmlformats.org/drawingml/2006/main" prst="line">
          <a:avLst/>
        </a:prstGeom>
        <a:ln xmlns:a="http://schemas.openxmlformats.org/drawingml/2006/main" w="381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1009648</xdr:colOff>
      <xdr:row>1</xdr:row>
      <xdr:rowOff>5</xdr:rowOff>
    </xdr:from>
    <xdr:to>
      <xdr:col>35</xdr:col>
      <xdr:colOff>381000</xdr:colOff>
      <xdr:row>25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1BE531-8332-045B-3AF1-74F0250CD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154</xdr:row>
      <xdr:rowOff>0</xdr:rowOff>
    </xdr:from>
    <xdr:to>
      <xdr:col>28</xdr:col>
      <xdr:colOff>0</xdr:colOff>
      <xdr:row>188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CE44AE-8BF8-5F2C-6CA8-9C99BA29B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438150</xdr:colOff>
      <xdr:row>136</xdr:row>
      <xdr:rowOff>152400</xdr:rowOff>
    </xdr:from>
    <xdr:to>
      <xdr:col>43</xdr:col>
      <xdr:colOff>114299</xdr:colOff>
      <xdr:row>177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52DB39-09D9-5485-0A2B-1C2B7FAF1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0</xdr:row>
      <xdr:rowOff>114299</xdr:rowOff>
    </xdr:from>
    <xdr:to>
      <xdr:col>51</xdr:col>
      <xdr:colOff>285750</xdr:colOff>
      <xdr:row>33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0B0346-A60A-1291-652F-27302839B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82</xdr:row>
      <xdr:rowOff>136525</xdr:rowOff>
    </xdr:from>
    <xdr:to>
      <xdr:col>10</xdr:col>
      <xdr:colOff>1203325</xdr:colOff>
      <xdr:row>97</xdr:row>
      <xdr:rowOff>117475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21</xdr:row>
      <xdr:rowOff>120656</xdr:rowOff>
    </xdr:from>
    <xdr:to>
      <xdr:col>33</xdr:col>
      <xdr:colOff>130175</xdr:colOff>
      <xdr:row>33</xdr:row>
      <xdr:rowOff>158756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269874</xdr:colOff>
      <xdr:row>0</xdr:row>
      <xdr:rowOff>0</xdr:rowOff>
    </xdr:from>
    <xdr:to>
      <xdr:col>46</xdr:col>
      <xdr:colOff>95250</xdr:colOff>
      <xdr:row>35</xdr:row>
      <xdr:rowOff>6344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238125</xdr:colOff>
      <xdr:row>1</xdr:row>
      <xdr:rowOff>171449</xdr:rowOff>
    </xdr:from>
    <xdr:to>
      <xdr:col>30</xdr:col>
      <xdr:colOff>544512</xdr:colOff>
      <xdr:row>18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4</xdr:row>
      <xdr:rowOff>30480</xdr:rowOff>
    </xdr:from>
    <xdr:to>
      <xdr:col>22</xdr:col>
      <xdr:colOff>259080</xdr:colOff>
      <xdr:row>27</xdr:row>
      <xdr:rowOff>129540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A789351-4882-49C7-9423-58452D418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85</xdr:row>
      <xdr:rowOff>34925</xdr:rowOff>
    </xdr:from>
    <xdr:to>
      <xdr:col>13</xdr:col>
      <xdr:colOff>231775</xdr:colOff>
      <xdr:row>100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8A3E9-1623-8521-52A6-965E1A0C8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1</xdr:row>
      <xdr:rowOff>50806</xdr:rowOff>
    </xdr:from>
    <xdr:to>
      <xdr:col>28</xdr:col>
      <xdr:colOff>568325</xdr:colOff>
      <xdr:row>13</xdr:row>
      <xdr:rowOff>88906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66676</xdr:colOff>
      <xdr:row>0</xdr:row>
      <xdr:rowOff>152401</xdr:rowOff>
    </xdr:from>
    <xdr:to>
      <xdr:col>33</xdr:col>
      <xdr:colOff>295276</xdr:colOff>
      <xdr:row>33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352424</xdr:colOff>
      <xdr:row>3</xdr:row>
      <xdr:rowOff>28574</xdr:rowOff>
    </xdr:from>
    <xdr:to>
      <xdr:col>24</xdr:col>
      <xdr:colOff>19050</xdr:colOff>
      <xdr:row>37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DD2E0D-7563-62A5-BE64-DEB243AE1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85724</xdr:colOff>
      <xdr:row>32</xdr:row>
      <xdr:rowOff>123825</xdr:rowOff>
    </xdr:from>
    <xdr:to>
      <xdr:col>22</xdr:col>
      <xdr:colOff>495299</xdr:colOff>
      <xdr:row>60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3F1A8F-A55E-B6F0-E147-03517E760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457198</xdr:colOff>
      <xdr:row>32</xdr:row>
      <xdr:rowOff>123823</xdr:rowOff>
    </xdr:from>
    <xdr:to>
      <xdr:col>39</xdr:col>
      <xdr:colOff>304799</xdr:colOff>
      <xdr:row>60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85DD2A-2C52-D782-EE87-14CB94CD7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47</xdr:row>
      <xdr:rowOff>92075</xdr:rowOff>
    </xdr:from>
    <xdr:to>
      <xdr:col>19</xdr:col>
      <xdr:colOff>415925</xdr:colOff>
      <xdr:row>62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304799</xdr:colOff>
      <xdr:row>2</xdr:row>
      <xdr:rowOff>285748</xdr:rowOff>
    </xdr:from>
    <xdr:to>
      <xdr:col>22</xdr:col>
      <xdr:colOff>504824</xdr:colOff>
      <xdr:row>25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7F3576-1C94-6156-6182-C062D4E0F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0.11708</cdr:x>
      <cdr:y>0.70325</cdr:y>
    </cdr:from>
    <cdr:to>
      <cdr:x>0.93309</cdr:x>
      <cdr:y>0.70325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5438992-3FBA-F8E1-C37F-E6C8B84EBEB1}"/>
            </a:ext>
          </a:extLst>
        </cdr:cNvPr>
        <cdr:cNvCxnSpPr/>
      </cdr:nvCxnSpPr>
      <cdr:spPr>
        <a:xfrm xmlns:a="http://schemas.openxmlformats.org/drawingml/2006/main">
          <a:off x="933412" y="3295629"/>
          <a:ext cx="6505578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ysClr val="windowText" lastClr="000000"/>
          </a:solidFill>
        </a:ln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11</xdr:row>
      <xdr:rowOff>133349</xdr:rowOff>
    </xdr:from>
    <xdr:to>
      <xdr:col>15</xdr:col>
      <xdr:colOff>400049</xdr:colOff>
      <xdr:row>32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104774</xdr:rowOff>
    </xdr:from>
    <xdr:to>
      <xdr:col>21</xdr:col>
      <xdr:colOff>314325</xdr:colOff>
      <xdr:row>33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BA490-5A22-2686-323D-92B964F88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0.09241</cdr:x>
      <cdr:y>0.66949</cdr:y>
    </cdr:from>
    <cdr:to>
      <cdr:x>0.967</cdr:x>
      <cdr:y>0.67119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B9CD751-9146-4D36-5C92-09B1A45ECCE3}"/>
            </a:ext>
          </a:extLst>
        </cdr:cNvPr>
        <cdr:cNvCxnSpPr/>
      </cdr:nvCxnSpPr>
      <cdr:spPr>
        <a:xfrm xmlns:a="http://schemas.openxmlformats.org/drawingml/2006/main">
          <a:off x="800108" y="3762351"/>
          <a:ext cx="7572397" cy="9554"/>
        </a:xfrm>
        <a:prstGeom xmlns:a="http://schemas.openxmlformats.org/drawingml/2006/main" prst="line">
          <a:avLst/>
        </a:prstGeom>
        <a:ln xmlns:a="http://schemas.openxmlformats.org/drawingml/2006/main" w="2540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0.08801</cdr:x>
      <cdr:y>0.5695</cdr:y>
    </cdr:from>
    <cdr:to>
      <cdr:x>0.96948</cdr:x>
      <cdr:y>0.57119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357CAF43-05AC-F3C9-974A-71110885B201}"/>
            </a:ext>
          </a:extLst>
        </cdr:cNvPr>
        <cdr:cNvCxnSpPr/>
      </cdr:nvCxnSpPr>
      <cdr:spPr>
        <a:xfrm xmlns:a="http://schemas.openxmlformats.org/drawingml/2006/main">
          <a:off x="762009" y="3200443"/>
          <a:ext cx="7631966" cy="9497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0.42684</cdr:x>
      <cdr:y>0.40678</cdr:y>
    </cdr:from>
    <cdr:to>
      <cdr:x>0.72717</cdr:x>
      <cdr:y>0.44746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6BBDC36-D7A7-98B9-6C75-24C80E8CFAFA}"/>
            </a:ext>
          </a:extLst>
        </cdr:cNvPr>
        <cdr:cNvSpPr txBox="1"/>
      </cdr:nvSpPr>
      <cdr:spPr>
        <a:xfrm xmlns:a="http://schemas.openxmlformats.org/drawingml/2006/main">
          <a:off x="3695700" y="2286000"/>
          <a:ext cx="26003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0.10503</cdr:x>
      <cdr:y>0.62226</cdr:y>
    </cdr:from>
    <cdr:to>
      <cdr:x>0.41794</cdr:x>
      <cdr:y>0.66948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7B9FAF4-DC4C-4CE0-12C8-C85E1C71C472}"/>
            </a:ext>
          </a:extLst>
        </cdr:cNvPr>
        <cdr:cNvSpPr txBox="1"/>
      </cdr:nvSpPr>
      <cdr:spPr>
        <a:xfrm xmlns:a="http://schemas.openxmlformats.org/drawingml/2006/main">
          <a:off x="914400" y="3514726"/>
          <a:ext cx="2724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real period of construstion work in Moscow</a:t>
          </a:r>
        </a:p>
      </cdr:txBody>
    </cdr:sp>
  </cdr:relSizeAnchor>
  <cdr:relSizeAnchor xmlns:cdr="http://schemas.openxmlformats.org/drawingml/2006/chartDrawing">
    <cdr:from>
      <cdr:x>0.12035</cdr:x>
      <cdr:y>0.50928</cdr:y>
    </cdr:from>
    <cdr:to>
      <cdr:x>0.52735</cdr:x>
      <cdr:y>0.56492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43E30FF-F371-4A3D-0CDA-ACD4E81A5C3B}"/>
            </a:ext>
          </a:extLst>
        </cdr:cNvPr>
        <cdr:cNvSpPr txBox="1"/>
      </cdr:nvSpPr>
      <cdr:spPr>
        <a:xfrm xmlns:a="http://schemas.openxmlformats.org/drawingml/2006/main">
          <a:off x="1047750" y="2876551"/>
          <a:ext cx="35433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standard 250 days of work per year</a:t>
          </a:r>
        </a:p>
      </cdr:txBody>
    </cdr:sp>
  </cdr:relSizeAnchor>
  <cdr:relSizeAnchor xmlns:cdr="http://schemas.openxmlformats.org/drawingml/2006/chartDrawing">
    <cdr:from>
      <cdr:x>0.093</cdr:x>
      <cdr:y>0.45025</cdr:y>
    </cdr:from>
    <cdr:to>
      <cdr:x>0.96827</cdr:x>
      <cdr:y>0.45194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6FB8FF2F-E9E0-FD8C-C58D-AEA9ED8D44FC}"/>
            </a:ext>
          </a:extLst>
        </cdr:cNvPr>
        <cdr:cNvCxnSpPr/>
      </cdr:nvCxnSpPr>
      <cdr:spPr>
        <a:xfrm xmlns:a="http://schemas.openxmlformats.org/drawingml/2006/main" flipV="1">
          <a:off x="809625" y="2543176"/>
          <a:ext cx="7620000" cy="952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0.1302</cdr:x>
      <cdr:y>0.39798</cdr:y>
    </cdr:from>
    <cdr:to>
      <cdr:x>0.41138</cdr:x>
      <cdr:y>0.44857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2F19DEAB-3031-51B0-2023-FA3036B2AB3F}"/>
            </a:ext>
          </a:extLst>
        </cdr:cNvPr>
        <cdr:cNvSpPr txBox="1"/>
      </cdr:nvSpPr>
      <cdr:spPr>
        <a:xfrm xmlns:a="http://schemas.openxmlformats.org/drawingml/2006/main">
          <a:off x="1133475" y="2247901"/>
          <a:ext cx="24479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</a:t>
          </a:r>
          <a:r>
            <a:rPr lang="it-IT" sz="1100" baseline="0"/>
            <a:t> year of work</a:t>
          </a:r>
          <a:endParaRPr lang="it-IT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89:D112" totalsRowShown="0">
  <autoFilter ref="C89:D112" xr:uid="{00000000-0009-0000-0100-000002000000}"/>
  <tableColumns count="2">
    <tableColumn id="1" xr3:uid="{00000000-0010-0000-0000-000001000000}" name="число людей ее получающих"/>
    <tableColumn id="2" xr3:uid="{00000000-0010-0000-0000-000002000000}" name="доход в день (в рублях)" dataDxfId="15">
      <calculatedColumnFormula>B90/365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N3:W27" totalsRowShown="0" headerRowDxfId="14" dataDxfId="12" headerRowBorderDxfId="13" tableBorderDxfId="11" totalsRowBorderDxfId="10">
  <autoFilter ref="N3:W27" xr:uid="{00000000-0009-0000-0100-000001000000}"/>
  <tableColumns count="10">
    <tableColumn id="1" xr3:uid="{00000000-0010-0000-0100-000001000000}" name="кто по специальности" dataDxfId="9"/>
    <tableColumn id="2" xr3:uid="{00000000-0010-0000-0100-000002000000}" name="фио" dataDxfId="8"/>
    <tableColumn id="3" xr3:uid="{00000000-0010-0000-0100-000003000000}" name="с кем" dataDxfId="7"/>
    <tableColumn id="4" xr3:uid="{00000000-0010-0000-0100-000004000000}" name="сколько человек в семье" dataDxfId="6"/>
    <tableColumn id="5" xr3:uid="{00000000-0010-0000-0100-000005000000}" name="выдача на месяц ржи (чет)" dataDxfId="5"/>
    <tableColumn id="6" xr3:uid="{00000000-0010-0000-0100-000006000000}" name="выдача на месяц овса вместо круп (чет)" dataDxfId="4"/>
    <tableColumn id="7" xr3:uid="{00000000-0010-0000-0100-000007000000}" name="в месяц на человека ржи (чет)" dataDxfId="3"/>
    <tableColumn id="8" xr3:uid="{00000000-0010-0000-0100-000008000000}" name="в месяц на человека овса (чет)" dataDxfId="2"/>
    <tableColumn id="9" xr3:uid="{00000000-0010-0000-0100-000009000000}" name="в год на человека ржи (чет)" dataDxfId="1"/>
    <tableColumn id="10" xr3:uid="{00000000-0010-0000-0100-00000A000000}" name="в год на человека овса (чет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2532-BEFF-4B42-98E1-C83301BF9DD7}">
  <dimension ref="A1:AJ90"/>
  <sheetViews>
    <sheetView workbookViewId="0">
      <selection activeCell="AJ5" sqref="AJ5"/>
    </sheetView>
  </sheetViews>
  <sheetFormatPr defaultRowHeight="14.25"/>
  <cols>
    <col min="4" max="5" width="9.06640625" style="207"/>
    <col min="33" max="33" width="0" hidden="1" customWidth="1"/>
    <col min="34" max="34" width="9.06640625" style="88"/>
    <col min="35" max="35" width="0" style="88" hidden="1" customWidth="1"/>
    <col min="36" max="36" width="9.06640625" style="88"/>
  </cols>
  <sheetData>
    <row r="1" spans="1:36">
      <c r="A1" t="s">
        <v>606</v>
      </c>
    </row>
    <row r="2" spans="1:36">
      <c r="Y2" t="s">
        <v>5</v>
      </c>
      <c r="Z2" t="s">
        <v>811</v>
      </c>
      <c r="AA2" t="s">
        <v>812</v>
      </c>
      <c r="AF2" t="s">
        <v>813</v>
      </c>
    </row>
    <row r="3" spans="1:36">
      <c r="C3" t="s">
        <v>5</v>
      </c>
      <c r="D3" s="207" t="s">
        <v>811</v>
      </c>
      <c r="E3" s="207" t="s">
        <v>812</v>
      </c>
      <c r="Y3">
        <v>1706</v>
      </c>
    </row>
    <row r="4" spans="1:36">
      <c r="C4">
        <v>1706</v>
      </c>
      <c r="Y4">
        <v>1708</v>
      </c>
      <c r="AF4" t="s">
        <v>295</v>
      </c>
      <c r="AG4" t="s">
        <v>814</v>
      </c>
      <c r="AH4" s="88" t="s">
        <v>816</v>
      </c>
      <c r="AI4" s="88" t="s">
        <v>815</v>
      </c>
      <c r="AJ4" s="88" t="s">
        <v>817</v>
      </c>
    </row>
    <row r="5" spans="1:36">
      <c r="C5">
        <v>1708</v>
      </c>
      <c r="Y5">
        <v>1718</v>
      </c>
      <c r="Z5">
        <v>4.7741878905000004</v>
      </c>
      <c r="AA5">
        <v>0.98300528665395004</v>
      </c>
      <c r="AF5">
        <v>1718</v>
      </c>
      <c r="AG5">
        <v>4.7740999999999998</v>
      </c>
      <c r="AH5" s="88">
        <v>100</v>
      </c>
      <c r="AI5" s="88">
        <v>0.98299999999999998</v>
      </c>
      <c r="AJ5" s="88">
        <v>100</v>
      </c>
    </row>
    <row r="6" spans="1:36">
      <c r="C6">
        <v>1718</v>
      </c>
      <c r="D6" s="207">
        <v>4.7741878905000004</v>
      </c>
      <c r="E6" s="207">
        <v>0.98300528665395004</v>
      </c>
      <c r="Y6">
        <v>1725</v>
      </c>
      <c r="AF6">
        <v>1728</v>
      </c>
      <c r="AG6">
        <v>4.1210000000000004</v>
      </c>
      <c r="AH6" s="88">
        <v>86.3</v>
      </c>
      <c r="AI6" s="88">
        <v>0.84850000000000003</v>
      </c>
      <c r="AJ6" s="88">
        <v>86.3</v>
      </c>
    </row>
    <row r="7" spans="1:36">
      <c r="C7">
        <v>1725</v>
      </c>
      <c r="Y7">
        <v>1726</v>
      </c>
      <c r="AF7">
        <v>1738</v>
      </c>
      <c r="AG7">
        <v>4.0068000000000001</v>
      </c>
      <c r="AH7" s="88">
        <v>83.9</v>
      </c>
      <c r="AI7" s="88">
        <v>0.83099999999999996</v>
      </c>
      <c r="AJ7" s="88">
        <v>84.6</v>
      </c>
    </row>
    <row r="8" spans="1:36">
      <c r="C8">
        <v>1726</v>
      </c>
      <c r="Y8">
        <v>1727</v>
      </c>
      <c r="AF8">
        <v>1762</v>
      </c>
      <c r="AG8">
        <v>4.2015000000000002</v>
      </c>
      <c r="AH8" s="88">
        <v>88</v>
      </c>
      <c r="AI8" s="88">
        <v>0.87139999999999995</v>
      </c>
      <c r="AJ8" s="88">
        <v>88.7</v>
      </c>
    </row>
    <row r="9" spans="1:36">
      <c r="C9">
        <v>1727</v>
      </c>
      <c r="Y9">
        <v>1728</v>
      </c>
      <c r="Z9">
        <v>4.1209874475000001</v>
      </c>
      <c r="AA9">
        <v>0.84851131544025005</v>
      </c>
      <c r="AF9">
        <v>1763</v>
      </c>
      <c r="AG9">
        <v>4.3244999999999996</v>
      </c>
      <c r="AH9" s="88">
        <v>90.6</v>
      </c>
      <c r="AI9" s="88">
        <v>0.89690000000000003</v>
      </c>
      <c r="AJ9" s="88">
        <v>91.2</v>
      </c>
    </row>
    <row r="10" spans="1:36">
      <c r="C10">
        <v>1728</v>
      </c>
      <c r="D10" s="207">
        <v>4.1209874475000001</v>
      </c>
      <c r="E10" s="207">
        <v>0.84851131544025005</v>
      </c>
      <c r="Y10">
        <v>1729</v>
      </c>
      <c r="AF10">
        <v>1764</v>
      </c>
      <c r="AG10">
        <v>4.2495000000000003</v>
      </c>
      <c r="AH10" s="88">
        <v>89</v>
      </c>
      <c r="AI10" s="88">
        <v>0.76490000000000002</v>
      </c>
      <c r="AJ10" s="88">
        <v>77.8</v>
      </c>
    </row>
    <row r="11" spans="1:36">
      <c r="C11">
        <v>1729</v>
      </c>
      <c r="Y11">
        <v>1730</v>
      </c>
      <c r="AF11">
        <v>1767</v>
      </c>
      <c r="AG11">
        <v>8.1788000000000007</v>
      </c>
      <c r="AH11" s="88">
        <v>171.3</v>
      </c>
      <c r="AI11" s="88">
        <v>1.4722</v>
      </c>
      <c r="AJ11" s="88">
        <v>149.80000000000001</v>
      </c>
    </row>
    <row r="12" spans="1:36">
      <c r="C12">
        <v>1730</v>
      </c>
      <c r="Y12">
        <v>1731</v>
      </c>
      <c r="AF12">
        <v>1777</v>
      </c>
      <c r="AG12">
        <v>6.1177000000000001</v>
      </c>
      <c r="AH12" s="88">
        <v>128.1</v>
      </c>
      <c r="AI12" s="88">
        <v>1.0903</v>
      </c>
      <c r="AJ12" s="88">
        <v>110.9</v>
      </c>
    </row>
    <row r="13" spans="1:36">
      <c r="C13">
        <v>1731</v>
      </c>
      <c r="Y13">
        <v>1732</v>
      </c>
      <c r="AF13">
        <v>1786</v>
      </c>
      <c r="AG13">
        <v>10.601800000000001</v>
      </c>
      <c r="AH13" s="88">
        <v>222</v>
      </c>
      <c r="AI13" s="88">
        <v>1.8709</v>
      </c>
      <c r="AJ13" s="88">
        <v>190.4</v>
      </c>
    </row>
    <row r="14" spans="1:36">
      <c r="C14">
        <v>1732</v>
      </c>
      <c r="Y14">
        <v>1733</v>
      </c>
      <c r="AF14">
        <v>1787</v>
      </c>
      <c r="AG14">
        <v>18.276199999999999</v>
      </c>
      <c r="AH14" s="88">
        <v>382.8</v>
      </c>
      <c r="AI14" s="88">
        <v>3.1939000000000002</v>
      </c>
      <c r="AJ14" s="88">
        <v>324.89999999999998</v>
      </c>
    </row>
    <row r="15" spans="1:36">
      <c r="C15">
        <v>1733</v>
      </c>
      <c r="Y15">
        <v>1734</v>
      </c>
      <c r="AF15">
        <v>1788</v>
      </c>
      <c r="AG15">
        <v>12.5723</v>
      </c>
      <c r="AH15" s="88">
        <v>263.3</v>
      </c>
      <c r="AI15" s="88">
        <v>2.0954000000000002</v>
      </c>
      <c r="AJ15" s="88">
        <v>213.2</v>
      </c>
    </row>
    <row r="16" spans="1:36">
      <c r="C16">
        <v>1734</v>
      </c>
      <c r="Y16">
        <v>1735</v>
      </c>
      <c r="AF16">
        <v>1789</v>
      </c>
      <c r="AG16">
        <v>11.000400000000001</v>
      </c>
      <c r="AH16" s="88">
        <v>230.4</v>
      </c>
      <c r="AI16" s="88">
        <v>1.8166</v>
      </c>
      <c r="AJ16" s="88">
        <v>184.8</v>
      </c>
    </row>
    <row r="17" spans="3:36">
      <c r="C17">
        <v>1735</v>
      </c>
      <c r="Y17">
        <v>1736</v>
      </c>
      <c r="AF17">
        <v>1792</v>
      </c>
      <c r="AG17">
        <v>9.8821999999999992</v>
      </c>
      <c r="AH17" s="88">
        <v>207</v>
      </c>
      <c r="AI17" s="88">
        <v>1.4117</v>
      </c>
      <c r="AJ17" s="88">
        <v>143.6</v>
      </c>
    </row>
    <row r="18" spans="3:36">
      <c r="C18">
        <v>1736</v>
      </c>
      <c r="Y18">
        <v>1737</v>
      </c>
      <c r="AF18">
        <v>1793</v>
      </c>
      <c r="AG18">
        <v>14.400399999999999</v>
      </c>
      <c r="AH18" s="88">
        <v>301.5</v>
      </c>
      <c r="AI18" s="88">
        <v>1.9200999999999999</v>
      </c>
      <c r="AJ18" s="88">
        <v>195.3</v>
      </c>
    </row>
    <row r="19" spans="3:36">
      <c r="C19">
        <v>1737</v>
      </c>
      <c r="Y19">
        <v>1738</v>
      </c>
      <c r="Z19">
        <v>4.0068489300000003</v>
      </c>
      <c r="AA19">
        <v>0.83102046808200003</v>
      </c>
      <c r="AF19">
        <v>1794</v>
      </c>
      <c r="AG19">
        <v>13.1557</v>
      </c>
      <c r="AH19" s="88">
        <v>275.5</v>
      </c>
      <c r="AI19" s="88">
        <v>1.6795</v>
      </c>
      <c r="AJ19" s="88">
        <v>170.9</v>
      </c>
    </row>
    <row r="20" spans="3:36">
      <c r="C20">
        <v>1738</v>
      </c>
      <c r="D20" s="207">
        <v>4.0068489300000003</v>
      </c>
      <c r="E20" s="207">
        <v>0.83102046808200003</v>
      </c>
      <c r="Y20">
        <v>1741</v>
      </c>
      <c r="AF20">
        <v>1795</v>
      </c>
      <c r="AG20">
        <v>15.920199999999999</v>
      </c>
      <c r="AH20" s="88">
        <v>333.4</v>
      </c>
      <c r="AI20" s="88">
        <v>1.9628000000000001</v>
      </c>
      <c r="AJ20" s="88">
        <v>199.7</v>
      </c>
    </row>
    <row r="21" spans="3:36">
      <c r="C21">
        <v>1741</v>
      </c>
      <c r="Y21">
        <v>1744</v>
      </c>
      <c r="AF21">
        <v>1796</v>
      </c>
      <c r="AG21">
        <v>17.666799999999999</v>
      </c>
      <c r="AH21" s="88">
        <v>369.9</v>
      </c>
      <c r="AI21" s="88">
        <v>2.2395</v>
      </c>
      <c r="AJ21" s="88">
        <v>227.8</v>
      </c>
    </row>
    <row r="22" spans="3:36">
      <c r="C22">
        <v>1744</v>
      </c>
      <c r="Y22">
        <v>1745</v>
      </c>
      <c r="AF22">
        <v>1797</v>
      </c>
      <c r="AG22">
        <v>15.2127</v>
      </c>
      <c r="AH22" s="88">
        <v>318.60000000000002</v>
      </c>
      <c r="AI22" s="88">
        <v>2.1732</v>
      </c>
      <c r="AJ22" s="88">
        <v>221.1</v>
      </c>
    </row>
    <row r="23" spans="3:36">
      <c r="C23">
        <v>1745</v>
      </c>
      <c r="Y23">
        <v>1746</v>
      </c>
      <c r="AF23">
        <v>1798</v>
      </c>
      <c r="AG23">
        <v>13.8371</v>
      </c>
      <c r="AH23" s="88">
        <v>289.8</v>
      </c>
      <c r="AI23" s="88">
        <v>1.8180000000000001</v>
      </c>
      <c r="AJ23" s="88">
        <v>184.9</v>
      </c>
    </row>
    <row r="24" spans="3:36">
      <c r="C24">
        <v>1746</v>
      </c>
      <c r="Y24">
        <v>1747</v>
      </c>
      <c r="AF24">
        <v>1799</v>
      </c>
      <c r="AG24">
        <v>14.1333</v>
      </c>
      <c r="AH24" s="88">
        <v>296</v>
      </c>
      <c r="AI24" s="88">
        <v>1.6848000000000001</v>
      </c>
      <c r="AJ24" s="88">
        <v>171.5</v>
      </c>
    </row>
    <row r="25" spans="3:36">
      <c r="C25">
        <v>1747</v>
      </c>
      <c r="Y25">
        <v>1748</v>
      </c>
      <c r="AF25">
        <v>1800</v>
      </c>
      <c r="AG25">
        <v>17.3599</v>
      </c>
      <c r="AH25" s="88">
        <v>363.4</v>
      </c>
      <c r="AI25" s="88">
        <v>2.0423</v>
      </c>
      <c r="AJ25" s="88">
        <v>207.8</v>
      </c>
    </row>
    <row r="26" spans="3:36">
      <c r="C26">
        <v>1748</v>
      </c>
      <c r="Y26">
        <v>1749</v>
      </c>
      <c r="AF26">
        <v>1801</v>
      </c>
      <c r="AG26">
        <v>18.106100000000001</v>
      </c>
      <c r="AH26" s="88">
        <v>379.2</v>
      </c>
      <c r="AI26" s="88">
        <v>2.1583000000000001</v>
      </c>
      <c r="AJ26" s="88">
        <v>219.5</v>
      </c>
    </row>
    <row r="27" spans="3:36">
      <c r="C27">
        <v>1749</v>
      </c>
      <c r="Y27">
        <v>1750</v>
      </c>
      <c r="AF27">
        <v>1802</v>
      </c>
      <c r="AG27">
        <v>15.313599999999999</v>
      </c>
      <c r="AH27" s="88">
        <v>320.7</v>
      </c>
      <c r="AI27" s="88">
        <v>1.9974000000000001</v>
      </c>
      <c r="AJ27" s="88">
        <v>203.2</v>
      </c>
    </row>
    <row r="28" spans="3:36">
      <c r="C28">
        <v>1750</v>
      </c>
      <c r="Y28">
        <v>1751</v>
      </c>
      <c r="AF28">
        <v>1805</v>
      </c>
      <c r="AG28">
        <v>15.067299999999999</v>
      </c>
      <c r="AH28" s="88">
        <v>315.5</v>
      </c>
      <c r="AI28" s="88">
        <v>2.0861999999999998</v>
      </c>
      <c r="AJ28" s="88">
        <v>212.2</v>
      </c>
    </row>
    <row r="29" spans="3:36">
      <c r="C29">
        <v>1751</v>
      </c>
      <c r="Y29">
        <v>1752</v>
      </c>
      <c r="AF29">
        <v>1806</v>
      </c>
      <c r="AG29">
        <v>17.340599999999998</v>
      </c>
      <c r="AH29" s="88">
        <v>363</v>
      </c>
      <c r="AI29" s="88">
        <v>2.3292999999999999</v>
      </c>
      <c r="AJ29" s="88">
        <v>237</v>
      </c>
    </row>
    <row r="30" spans="3:36">
      <c r="C30">
        <v>1752</v>
      </c>
      <c r="Y30">
        <v>1753</v>
      </c>
      <c r="AF30">
        <v>1807</v>
      </c>
      <c r="AG30">
        <v>18.180599999999998</v>
      </c>
      <c r="AH30" s="88">
        <v>380.7</v>
      </c>
      <c r="AI30" s="88">
        <v>2.1962999999999999</v>
      </c>
      <c r="AJ30" s="88">
        <v>223.5</v>
      </c>
    </row>
    <row r="31" spans="3:36">
      <c r="C31">
        <v>1753</v>
      </c>
      <c r="Y31">
        <v>1757</v>
      </c>
      <c r="AF31">
        <v>1809</v>
      </c>
      <c r="AG31">
        <v>24.7606</v>
      </c>
      <c r="AH31" s="88">
        <v>518.6</v>
      </c>
      <c r="AI31" s="88">
        <v>1.9985999999999999</v>
      </c>
      <c r="AJ31" s="88">
        <v>203.3</v>
      </c>
    </row>
    <row r="32" spans="3:36">
      <c r="C32">
        <v>1757</v>
      </c>
      <c r="Y32">
        <v>1758</v>
      </c>
      <c r="AF32">
        <v>1810</v>
      </c>
      <c r="AG32">
        <v>29.997599999999998</v>
      </c>
      <c r="AH32" s="88">
        <v>628.20000000000005</v>
      </c>
      <c r="AI32" s="88">
        <v>1.7819</v>
      </c>
      <c r="AJ32" s="88">
        <v>181.3</v>
      </c>
    </row>
    <row r="33" spans="3:36">
      <c r="C33">
        <v>1758</v>
      </c>
      <c r="Y33">
        <v>1759</v>
      </c>
      <c r="AF33">
        <v>1815</v>
      </c>
      <c r="AG33">
        <v>39.493499999999997</v>
      </c>
      <c r="AH33" s="88">
        <v>826.8</v>
      </c>
      <c r="AI33" s="88">
        <v>1.4218</v>
      </c>
      <c r="AJ33" s="88">
        <v>144.69999999999999</v>
      </c>
    </row>
    <row r="34" spans="3:36">
      <c r="C34">
        <v>1759</v>
      </c>
      <c r="Y34">
        <v>1760</v>
      </c>
    </row>
    <row r="35" spans="3:36">
      <c r="C35">
        <v>1760</v>
      </c>
      <c r="Y35">
        <v>1761</v>
      </c>
    </row>
    <row r="36" spans="3:36">
      <c r="C36">
        <v>1761</v>
      </c>
      <c r="Y36">
        <v>1762</v>
      </c>
      <c r="Z36">
        <v>4.2015216949999994</v>
      </c>
      <c r="AA36">
        <v>0.87139559954299983</v>
      </c>
    </row>
    <row r="37" spans="3:36">
      <c r="C37">
        <v>1762</v>
      </c>
      <c r="D37" s="207">
        <v>4.2015216949999994</v>
      </c>
      <c r="E37" s="207">
        <v>0.87139559954299983</v>
      </c>
      <c r="Y37">
        <v>1763</v>
      </c>
      <c r="Z37">
        <v>4.3245307087499993</v>
      </c>
      <c r="AA37">
        <v>0.89690766899474983</v>
      </c>
    </row>
    <row r="38" spans="3:36">
      <c r="C38">
        <v>1763</v>
      </c>
      <c r="D38" s="207">
        <v>4.3245307087499993</v>
      </c>
      <c r="E38" s="207">
        <v>0.89690766899474983</v>
      </c>
      <c r="Y38">
        <v>1764</v>
      </c>
      <c r="Z38">
        <v>4.249504763</v>
      </c>
      <c r="AA38">
        <v>0.76491085733999997</v>
      </c>
    </row>
    <row r="39" spans="3:36">
      <c r="C39">
        <v>1764</v>
      </c>
      <c r="D39" s="207">
        <v>4.249504763</v>
      </c>
      <c r="E39" s="207">
        <v>0.76491085733999997</v>
      </c>
      <c r="Y39">
        <v>1765</v>
      </c>
    </row>
    <row r="40" spans="3:36">
      <c r="C40">
        <v>1765</v>
      </c>
      <c r="Y40">
        <v>1766</v>
      </c>
    </row>
    <row r="41" spans="3:36">
      <c r="C41">
        <v>1766</v>
      </c>
      <c r="Y41">
        <v>1767</v>
      </c>
      <c r="Z41">
        <v>8.1787793240999989</v>
      </c>
      <c r="AA41">
        <v>1.4721802783379996</v>
      </c>
    </row>
    <row r="42" spans="3:36">
      <c r="C42">
        <v>1767</v>
      </c>
      <c r="D42" s="207">
        <v>8.1787793240999989</v>
      </c>
      <c r="E42" s="207">
        <v>1.4721802783379996</v>
      </c>
      <c r="Y42">
        <v>1768</v>
      </c>
    </row>
    <row r="43" spans="3:36">
      <c r="C43">
        <v>1768</v>
      </c>
      <c r="Y43">
        <v>1769</v>
      </c>
    </row>
    <row r="44" spans="3:36">
      <c r="C44">
        <v>1769</v>
      </c>
      <c r="Y44">
        <v>1770</v>
      </c>
    </row>
    <row r="45" spans="3:36">
      <c r="C45">
        <v>1770</v>
      </c>
      <c r="Y45">
        <v>1771</v>
      </c>
    </row>
    <row r="46" spans="3:36">
      <c r="C46">
        <v>1771</v>
      </c>
      <c r="Y46">
        <v>1772</v>
      </c>
    </row>
    <row r="47" spans="3:36">
      <c r="C47">
        <v>1772</v>
      </c>
      <c r="Y47">
        <v>1773</v>
      </c>
    </row>
    <row r="48" spans="3:36">
      <c r="C48">
        <v>1773</v>
      </c>
      <c r="Y48">
        <v>1774</v>
      </c>
    </row>
    <row r="49" spans="3:27">
      <c r="C49">
        <v>1774</v>
      </c>
      <c r="Y49">
        <v>1775</v>
      </c>
    </row>
    <row r="50" spans="3:27">
      <c r="C50">
        <v>1775</v>
      </c>
      <c r="Y50">
        <v>1776</v>
      </c>
    </row>
    <row r="51" spans="3:27">
      <c r="C51">
        <v>1776</v>
      </c>
      <c r="Y51">
        <v>1777</v>
      </c>
      <c r="Z51">
        <v>6.1177137105000003</v>
      </c>
      <c r="AA51">
        <v>1.0902856117722772</v>
      </c>
    </row>
    <row r="52" spans="3:27">
      <c r="C52">
        <v>1777</v>
      </c>
      <c r="D52" s="207">
        <v>6.1177137105000003</v>
      </c>
      <c r="E52" s="207">
        <v>1.0902856117722772</v>
      </c>
      <c r="Y52">
        <v>1778</v>
      </c>
    </row>
    <row r="53" spans="3:27">
      <c r="C53">
        <v>1778</v>
      </c>
      <c r="Y53">
        <v>1779</v>
      </c>
    </row>
    <row r="54" spans="3:27">
      <c r="C54">
        <v>1779</v>
      </c>
      <c r="Y54">
        <v>1780</v>
      </c>
    </row>
    <row r="55" spans="3:27">
      <c r="C55">
        <v>1780</v>
      </c>
      <c r="Y55">
        <v>1781</v>
      </c>
    </row>
    <row r="56" spans="3:27">
      <c r="C56">
        <v>1781</v>
      </c>
      <c r="Y56">
        <v>1782</v>
      </c>
    </row>
    <row r="57" spans="3:27">
      <c r="C57">
        <v>1782</v>
      </c>
      <c r="Y57">
        <v>1783</v>
      </c>
    </row>
    <row r="58" spans="3:27">
      <c r="C58">
        <v>1783</v>
      </c>
      <c r="Y58">
        <v>1784</v>
      </c>
    </row>
    <row r="59" spans="3:27">
      <c r="C59">
        <v>1784</v>
      </c>
      <c r="Y59">
        <v>1785</v>
      </c>
    </row>
    <row r="60" spans="3:27">
      <c r="C60">
        <v>1785</v>
      </c>
      <c r="Y60">
        <v>1786</v>
      </c>
      <c r="Z60">
        <v>10.601767856362308</v>
      </c>
      <c r="AA60">
        <v>1.8709002099462895</v>
      </c>
    </row>
    <row r="61" spans="3:27">
      <c r="C61">
        <v>1786</v>
      </c>
      <c r="D61" s="207">
        <v>10.601767856362308</v>
      </c>
      <c r="E61" s="207">
        <v>1.8709002099462895</v>
      </c>
      <c r="Y61">
        <v>1787</v>
      </c>
      <c r="Z61">
        <v>18.276205560574976</v>
      </c>
      <c r="AA61">
        <v>3.1939000008771803</v>
      </c>
    </row>
    <row r="62" spans="3:27">
      <c r="C62">
        <v>1787</v>
      </c>
      <c r="D62" s="207">
        <v>18.276205560574976</v>
      </c>
      <c r="E62" s="207">
        <v>3.1939000008771803</v>
      </c>
      <c r="Y62">
        <v>1788</v>
      </c>
      <c r="Z62">
        <v>12.572337336931639</v>
      </c>
      <c r="AA62">
        <v>2.0953895561552729</v>
      </c>
    </row>
    <row r="63" spans="3:27">
      <c r="C63">
        <v>1788</v>
      </c>
      <c r="D63" s="207">
        <v>12.572337336931639</v>
      </c>
      <c r="E63" s="207">
        <v>2.0953895561552729</v>
      </c>
      <c r="Y63">
        <v>1789</v>
      </c>
      <c r="Z63">
        <v>11.000405849931642</v>
      </c>
      <c r="AA63">
        <v>1.8165807825575189</v>
      </c>
    </row>
    <row r="64" spans="3:27">
      <c r="C64">
        <v>1789</v>
      </c>
      <c r="D64" s="207">
        <v>11.000405849931642</v>
      </c>
      <c r="E64" s="207">
        <v>1.8165807825575189</v>
      </c>
      <c r="Y64">
        <v>1790</v>
      </c>
    </row>
    <row r="65" spans="3:27">
      <c r="C65">
        <v>1790</v>
      </c>
      <c r="Y65">
        <v>1791</v>
      </c>
    </row>
    <row r="66" spans="3:27">
      <c r="C66">
        <v>1791</v>
      </c>
      <c r="Y66">
        <v>1792</v>
      </c>
      <c r="Z66">
        <v>9.8821683624316421</v>
      </c>
      <c r="AA66">
        <v>1.4117383374902346</v>
      </c>
    </row>
    <row r="67" spans="3:27">
      <c r="C67">
        <v>1792</v>
      </c>
      <c r="D67" s="207">
        <v>9.8821683624316421</v>
      </c>
      <c r="E67" s="207">
        <v>1.4117383374902346</v>
      </c>
      <c r="Y67">
        <v>1793</v>
      </c>
      <c r="Z67">
        <v>14.400411513833333</v>
      </c>
      <c r="AA67">
        <v>1.920054868511111</v>
      </c>
    </row>
    <row r="68" spans="3:27">
      <c r="C68">
        <v>1793</v>
      </c>
      <c r="D68" s="207">
        <v>14.400411513833333</v>
      </c>
      <c r="E68" s="207">
        <v>1.920054868511111</v>
      </c>
      <c r="Y68">
        <v>1794</v>
      </c>
      <c r="Z68">
        <v>13.15573865190577</v>
      </c>
      <c r="AA68">
        <v>1.6794559981156303</v>
      </c>
    </row>
    <row r="69" spans="3:27">
      <c r="C69">
        <v>1794</v>
      </c>
      <c r="D69" s="207">
        <v>13.15573865190577</v>
      </c>
      <c r="E69" s="207">
        <v>1.6794559981156303</v>
      </c>
      <c r="Y69">
        <v>1795</v>
      </c>
      <c r="Z69">
        <v>15.92018632575</v>
      </c>
      <c r="AA69">
        <v>1.9627626976952053</v>
      </c>
    </row>
    <row r="70" spans="3:27">
      <c r="C70">
        <v>1795</v>
      </c>
      <c r="D70" s="207">
        <v>15.92018632575</v>
      </c>
      <c r="E70" s="207">
        <v>1.9627626976952053</v>
      </c>
      <c r="Y70">
        <v>1796</v>
      </c>
      <c r="Z70">
        <v>17.666848116218748</v>
      </c>
      <c r="AA70">
        <v>2.2394596203657566</v>
      </c>
    </row>
    <row r="71" spans="3:27">
      <c r="C71">
        <v>1796</v>
      </c>
      <c r="D71" s="207">
        <v>17.666848116218748</v>
      </c>
      <c r="E71" s="207">
        <v>2.2394596203657566</v>
      </c>
      <c r="Y71">
        <v>1797</v>
      </c>
      <c r="Z71">
        <v>15.212691773343751</v>
      </c>
      <c r="AA71">
        <v>2.1732416819062501</v>
      </c>
    </row>
    <row r="72" spans="3:27">
      <c r="C72">
        <v>1797</v>
      </c>
      <c r="D72" s="207">
        <v>15.212691773343751</v>
      </c>
      <c r="E72" s="207">
        <v>2.1732416819062501</v>
      </c>
      <c r="Y72">
        <v>1798</v>
      </c>
      <c r="Z72">
        <v>13.837095099000003</v>
      </c>
      <c r="AA72">
        <v>1.8180124947591247</v>
      </c>
    </row>
    <row r="73" spans="3:27">
      <c r="C73">
        <v>1798</v>
      </c>
      <c r="D73" s="207">
        <v>13.837095099000003</v>
      </c>
      <c r="E73" s="207">
        <v>1.8180124947591247</v>
      </c>
      <c r="Y73">
        <v>1799</v>
      </c>
      <c r="Z73">
        <v>14.1333016654375</v>
      </c>
      <c r="AA73">
        <v>1.6847644369395696</v>
      </c>
    </row>
    <row r="74" spans="3:27">
      <c r="C74">
        <v>1799</v>
      </c>
      <c r="D74" s="207">
        <v>14.1333016654375</v>
      </c>
      <c r="E74" s="207">
        <v>1.6847644369395696</v>
      </c>
      <c r="Y74">
        <v>1800</v>
      </c>
      <c r="Z74">
        <v>17.359921714799999</v>
      </c>
      <c r="AA74">
        <v>2.0423437311529411</v>
      </c>
    </row>
    <row r="75" spans="3:27">
      <c r="C75">
        <v>1800</v>
      </c>
      <c r="D75" s="207">
        <v>17.359921714799999</v>
      </c>
      <c r="E75" s="207">
        <v>2.0423437311529411</v>
      </c>
      <c r="Y75">
        <v>1801</v>
      </c>
      <c r="Z75">
        <v>18.106124678181644</v>
      </c>
      <c r="AA75">
        <v>2.1583459881276132</v>
      </c>
    </row>
    <row r="76" spans="3:27">
      <c r="C76">
        <v>1801</v>
      </c>
      <c r="D76" s="207">
        <v>18.106124678181644</v>
      </c>
      <c r="E76" s="207">
        <v>2.1583459881276132</v>
      </c>
      <c r="Y76">
        <v>1802</v>
      </c>
      <c r="Z76">
        <v>15.313636863000001</v>
      </c>
      <c r="AA76">
        <v>1.9974308951739135</v>
      </c>
    </row>
    <row r="77" spans="3:27">
      <c r="C77">
        <v>1802</v>
      </c>
      <c r="D77" s="207">
        <v>15.313636863000001</v>
      </c>
      <c r="E77" s="207">
        <v>1.9974308951739135</v>
      </c>
      <c r="Y77">
        <v>1803</v>
      </c>
    </row>
    <row r="78" spans="3:27">
      <c r="C78">
        <v>1803</v>
      </c>
      <c r="Y78">
        <v>1804</v>
      </c>
    </row>
    <row r="79" spans="3:27">
      <c r="C79">
        <v>1804</v>
      </c>
      <c r="Y79">
        <v>1805</v>
      </c>
      <c r="Z79">
        <v>15.067322237916665</v>
      </c>
      <c r="AA79">
        <v>2.0862446175576919</v>
      </c>
    </row>
    <row r="80" spans="3:27">
      <c r="C80">
        <v>1805</v>
      </c>
      <c r="D80" s="207">
        <v>15.067322237916665</v>
      </c>
      <c r="E80" s="207">
        <v>2.0862446175576919</v>
      </c>
      <c r="Y80">
        <v>1806</v>
      </c>
      <c r="Z80">
        <v>17.340630103125001</v>
      </c>
      <c r="AA80">
        <v>2.3293383720615672</v>
      </c>
    </row>
    <row r="81" spans="3:27">
      <c r="C81">
        <v>1806</v>
      </c>
      <c r="D81" s="207">
        <v>17.340630103125001</v>
      </c>
      <c r="E81" s="207">
        <v>2.3293383720615672</v>
      </c>
      <c r="Y81">
        <v>1807</v>
      </c>
      <c r="Z81">
        <v>18.1805791768125</v>
      </c>
      <c r="AA81">
        <v>2.1963115784068794</v>
      </c>
    </row>
    <row r="82" spans="3:27">
      <c r="C82">
        <v>1807</v>
      </c>
      <c r="D82" s="207">
        <v>18.1805791768125</v>
      </c>
      <c r="E82" s="207">
        <v>2.1963115784068794</v>
      </c>
      <c r="Y82">
        <v>1808</v>
      </c>
    </row>
    <row r="83" spans="3:27">
      <c r="C83">
        <v>1808</v>
      </c>
      <c r="Y83">
        <v>1809</v>
      </c>
      <c r="Z83">
        <v>24.760617378000006</v>
      </c>
      <c r="AA83">
        <v>1.998614855623319</v>
      </c>
    </row>
    <row r="84" spans="3:27">
      <c r="C84">
        <v>1809</v>
      </c>
      <c r="D84" s="207">
        <v>24.760617378000006</v>
      </c>
      <c r="E84" s="207">
        <v>1.998614855623319</v>
      </c>
      <c r="Y84">
        <v>1810</v>
      </c>
      <c r="Z84">
        <v>29.997571159500001</v>
      </c>
      <c r="AA84">
        <v>1.7818557268743</v>
      </c>
    </row>
    <row r="85" spans="3:27">
      <c r="C85">
        <v>1810</v>
      </c>
      <c r="D85" s="207">
        <v>29.997571159500001</v>
      </c>
      <c r="E85" s="207">
        <v>1.7818557268743</v>
      </c>
      <c r="Y85">
        <v>1811</v>
      </c>
    </row>
    <row r="86" spans="3:27">
      <c r="C86">
        <v>1811</v>
      </c>
      <c r="Y86">
        <v>1812</v>
      </c>
    </row>
    <row r="87" spans="3:27">
      <c r="C87">
        <v>1812</v>
      </c>
      <c r="Y87">
        <v>1813</v>
      </c>
    </row>
    <row r="88" spans="3:27">
      <c r="C88">
        <v>1813</v>
      </c>
      <c r="Y88">
        <v>1814</v>
      </c>
    </row>
    <row r="89" spans="3:27">
      <c r="C89">
        <v>1814</v>
      </c>
      <c r="Y89">
        <v>1815</v>
      </c>
      <c r="Z89">
        <v>39.493489937999996</v>
      </c>
      <c r="AA89">
        <v>1.4217656377679999</v>
      </c>
    </row>
    <row r="90" spans="3:27">
      <c r="C90">
        <v>1815</v>
      </c>
      <c r="D90" s="207">
        <v>39.493489937999996</v>
      </c>
      <c r="E90" s="207">
        <v>1.4217656377679999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413A-06D9-49E1-B6DA-B1B75547971C}">
  <dimension ref="C2:J141"/>
  <sheetViews>
    <sheetView topLeftCell="G1" workbookViewId="0">
      <selection activeCell="AD9" sqref="AD9"/>
    </sheetView>
  </sheetViews>
  <sheetFormatPr defaultRowHeight="14.25"/>
  <cols>
    <col min="4" max="6" width="9.06640625" hidden="1" customWidth="1"/>
  </cols>
  <sheetData>
    <row r="2" spans="3:10">
      <c r="C2" t="s">
        <v>5</v>
      </c>
      <c r="D2" t="s">
        <v>590</v>
      </c>
      <c r="E2" t="s">
        <v>612</v>
      </c>
      <c r="F2" t="s">
        <v>613</v>
      </c>
      <c r="G2" t="s">
        <v>623</v>
      </c>
      <c r="H2" t="s">
        <v>624</v>
      </c>
      <c r="I2" t="s">
        <v>625</v>
      </c>
      <c r="J2" t="s">
        <v>626</v>
      </c>
    </row>
    <row r="3" spans="3:10">
      <c r="C3">
        <v>1701</v>
      </c>
      <c r="F3">
        <v>0.06</v>
      </c>
    </row>
    <row r="4" spans="3:10">
      <c r="C4">
        <v>1704</v>
      </c>
      <c r="E4">
        <v>0.02</v>
      </c>
    </row>
    <row r="5" spans="3:10">
      <c r="C5">
        <v>1708</v>
      </c>
    </row>
    <row r="6" spans="3:10">
      <c r="C6">
        <v>1718</v>
      </c>
      <c r="D6">
        <v>4.7741878905000004</v>
      </c>
      <c r="E6">
        <v>2.3E-2</v>
      </c>
      <c r="G6">
        <v>0.4014644397386577</v>
      </c>
    </row>
    <row r="7" spans="3:10">
      <c r="C7">
        <v>1722</v>
      </c>
      <c r="F7">
        <v>2.5000000000000001E-2</v>
      </c>
    </row>
    <row r="8" spans="3:10">
      <c r="C8">
        <v>1724</v>
      </c>
      <c r="F8">
        <v>4.4999999999999998E-2</v>
      </c>
    </row>
    <row r="9" spans="3:10">
      <c r="C9">
        <v>1726</v>
      </c>
      <c r="E9">
        <v>0.1</v>
      </c>
    </row>
    <row r="10" spans="3:10">
      <c r="C10">
        <v>1726</v>
      </c>
    </row>
    <row r="11" spans="3:10">
      <c r="C11">
        <v>1727</v>
      </c>
    </row>
    <row r="12" spans="3:10">
      <c r="C12">
        <v>1728</v>
      </c>
      <c r="D12">
        <v>4.1209874475000001</v>
      </c>
      <c r="H12">
        <v>0.32354705039011966</v>
      </c>
    </row>
    <row r="13" spans="3:10">
      <c r="C13">
        <v>1729</v>
      </c>
      <c r="F13">
        <v>1.6E-2</v>
      </c>
    </row>
    <row r="14" spans="3:10">
      <c r="C14">
        <v>1730</v>
      </c>
      <c r="F14">
        <v>0.08</v>
      </c>
    </row>
    <row r="15" spans="3:10">
      <c r="C15">
        <v>1731</v>
      </c>
      <c r="F15">
        <v>1.1999999999999999E-2</v>
      </c>
    </row>
    <row r="16" spans="3:10">
      <c r="C16">
        <v>1732</v>
      </c>
    </row>
    <row r="17" spans="3:8">
      <c r="C17">
        <v>1733</v>
      </c>
    </row>
    <row r="18" spans="3:8">
      <c r="C18">
        <v>1734</v>
      </c>
      <c r="F18">
        <v>1.6666666666666666E-2</v>
      </c>
    </row>
    <row r="19" spans="3:8">
      <c r="C19">
        <v>1736</v>
      </c>
      <c r="F19">
        <v>5.0000000000000001E-3</v>
      </c>
    </row>
    <row r="20" spans="3:8">
      <c r="C20">
        <v>1737</v>
      </c>
      <c r="E20">
        <v>1.4545454545454545E-2</v>
      </c>
      <c r="F20">
        <v>1.381818181818182E-2</v>
      </c>
    </row>
    <row r="21" spans="3:8">
      <c r="C21">
        <v>1738</v>
      </c>
      <c r="D21">
        <v>4.0068489300000003</v>
      </c>
      <c r="F21">
        <v>3.833333333333333E-2</v>
      </c>
      <c r="H21">
        <v>0.79724604053001913</v>
      </c>
    </row>
    <row r="22" spans="3:8">
      <c r="C22">
        <v>1739</v>
      </c>
      <c r="F22">
        <v>1.6666666666666666E-2</v>
      </c>
    </row>
    <row r="23" spans="3:8">
      <c r="C23">
        <v>1740</v>
      </c>
      <c r="F23">
        <v>1.3000000000000001E-2</v>
      </c>
    </row>
    <row r="24" spans="3:8">
      <c r="C24">
        <v>1741</v>
      </c>
      <c r="E24">
        <v>0.12</v>
      </c>
    </row>
    <row r="25" spans="3:8">
      <c r="C25">
        <v>1749</v>
      </c>
      <c r="E25">
        <v>0.36085326086956526</v>
      </c>
    </row>
    <row r="26" spans="3:8">
      <c r="C26">
        <v>1756</v>
      </c>
      <c r="F26">
        <v>0.02</v>
      </c>
    </row>
    <row r="27" spans="3:8">
      <c r="C27">
        <v>1757</v>
      </c>
      <c r="E27">
        <v>0.15</v>
      </c>
    </row>
    <row r="28" spans="3:8">
      <c r="C28">
        <v>1758</v>
      </c>
    </row>
    <row r="29" spans="3:8">
      <c r="C29">
        <v>1759</v>
      </c>
      <c r="E29">
        <v>0.24</v>
      </c>
    </row>
    <row r="30" spans="3:8">
      <c r="C30">
        <v>1760</v>
      </c>
    </row>
    <row r="31" spans="3:8">
      <c r="C31">
        <v>1761</v>
      </c>
    </row>
    <row r="32" spans="3:8">
      <c r="C32">
        <v>1762</v>
      </c>
      <c r="D32">
        <v>4.2015216949999994</v>
      </c>
      <c r="F32">
        <v>0.04</v>
      </c>
      <c r="H32">
        <v>0.79336335149718518</v>
      </c>
    </row>
    <row r="33" spans="3:8">
      <c r="C33">
        <v>1763</v>
      </c>
      <c r="D33">
        <v>4.3245307087499993</v>
      </c>
    </row>
    <row r="34" spans="3:8">
      <c r="C34">
        <v>1764</v>
      </c>
      <c r="D34">
        <v>4.249504763</v>
      </c>
      <c r="E34">
        <v>0.5714285714285714</v>
      </c>
      <c r="F34">
        <v>0.11333333333333333</v>
      </c>
    </row>
    <row r="35" spans="3:8">
      <c r="C35">
        <v>1765</v>
      </c>
    </row>
    <row r="36" spans="3:8">
      <c r="C36">
        <v>1766</v>
      </c>
      <c r="E36">
        <v>0.25</v>
      </c>
    </row>
    <row r="37" spans="3:8">
      <c r="C37">
        <v>1767</v>
      </c>
      <c r="D37">
        <v>8.1787793240999989</v>
      </c>
      <c r="E37">
        <v>0.16</v>
      </c>
      <c r="F37">
        <v>0.05</v>
      </c>
      <c r="G37">
        <v>1.6302351249464169</v>
      </c>
      <c r="H37">
        <v>0.50944847654575531</v>
      </c>
    </row>
    <row r="38" spans="3:8">
      <c r="C38">
        <v>1768</v>
      </c>
    </row>
    <row r="39" spans="3:8">
      <c r="C39">
        <v>1769</v>
      </c>
      <c r="E39">
        <v>7.0000000000000007E-2</v>
      </c>
      <c r="F39">
        <v>0.05</v>
      </c>
    </row>
    <row r="40" spans="3:8">
      <c r="C40">
        <v>1770</v>
      </c>
    </row>
    <row r="41" spans="3:8">
      <c r="C41">
        <v>1771</v>
      </c>
    </row>
    <row r="42" spans="3:8">
      <c r="C42">
        <v>1772</v>
      </c>
      <c r="F42">
        <v>0.08</v>
      </c>
    </row>
    <row r="43" spans="3:8">
      <c r="C43">
        <v>1773</v>
      </c>
      <c r="E43">
        <v>0.26650000000000001</v>
      </c>
    </row>
    <row r="44" spans="3:8">
      <c r="C44">
        <v>1774</v>
      </c>
    </row>
    <row r="45" spans="3:8">
      <c r="C45">
        <v>1775</v>
      </c>
    </row>
    <row r="46" spans="3:8">
      <c r="C46">
        <v>1776</v>
      </c>
      <c r="F46">
        <v>0.2</v>
      </c>
    </row>
    <row r="47" spans="3:8">
      <c r="C47">
        <v>1777</v>
      </c>
      <c r="D47">
        <v>6.1177137105000003</v>
      </c>
      <c r="E47">
        <v>0.24152499999999999</v>
      </c>
      <c r="F47">
        <v>0.17666666666666667</v>
      </c>
      <c r="G47">
        <v>3.2899681622545791</v>
      </c>
      <c r="H47">
        <v>2.406490875333716</v>
      </c>
    </row>
    <row r="48" spans="3:8">
      <c r="C48">
        <v>1778</v>
      </c>
      <c r="E48">
        <v>0.45305000000000001</v>
      </c>
      <c r="F48">
        <v>0.15846874999999996</v>
      </c>
    </row>
    <row r="49" spans="3:8">
      <c r="C49">
        <v>1779</v>
      </c>
      <c r="E49">
        <v>0.32871666666666666</v>
      </c>
      <c r="F49">
        <v>0.12999999999999998</v>
      </c>
    </row>
    <row r="50" spans="3:8">
      <c r="C50">
        <v>1780</v>
      </c>
      <c r="E50">
        <v>0.31552666666666668</v>
      </c>
      <c r="F50">
        <v>0.14466666666666667</v>
      </c>
    </row>
    <row r="51" spans="3:8">
      <c r="C51">
        <v>1781</v>
      </c>
      <c r="E51">
        <v>0.44772000000000001</v>
      </c>
    </row>
    <row r="52" spans="3:8">
      <c r="C52">
        <v>1782</v>
      </c>
    </row>
    <row r="53" spans="3:8">
      <c r="C53">
        <v>1783</v>
      </c>
    </row>
    <row r="54" spans="3:8">
      <c r="C54">
        <v>1784</v>
      </c>
      <c r="F54">
        <v>0.14083333333333334</v>
      </c>
    </row>
    <row r="55" spans="3:8">
      <c r="C55">
        <v>1785</v>
      </c>
      <c r="F55">
        <v>0.13571428571428573</v>
      </c>
    </row>
    <row r="56" spans="3:8">
      <c r="C56">
        <v>1786</v>
      </c>
      <c r="D56">
        <v>10.601767856362308</v>
      </c>
      <c r="F56">
        <v>0.1</v>
      </c>
      <c r="H56">
        <v>0.7860324283871537</v>
      </c>
    </row>
    <row r="57" spans="3:8">
      <c r="C57">
        <v>1787</v>
      </c>
      <c r="D57">
        <v>18.276205560574976</v>
      </c>
      <c r="F57">
        <v>0.18333333333333335</v>
      </c>
      <c r="H57">
        <v>0.83593816709605528</v>
      </c>
    </row>
    <row r="58" spans="3:8">
      <c r="C58">
        <v>1788</v>
      </c>
      <c r="D58">
        <v>12.572337336931639</v>
      </c>
      <c r="F58">
        <v>0.14083333333333334</v>
      </c>
      <c r="H58">
        <v>0.93348681288052249</v>
      </c>
    </row>
    <row r="59" spans="3:8">
      <c r="C59">
        <v>1789</v>
      </c>
      <c r="D59">
        <v>11.000405849931642</v>
      </c>
      <c r="E59">
        <v>0.25</v>
      </c>
      <c r="F59">
        <v>0.16499999999999998</v>
      </c>
      <c r="G59">
        <v>1.8938695187744179</v>
      </c>
      <c r="H59">
        <v>1.2499538823911156</v>
      </c>
    </row>
    <row r="60" spans="3:8">
      <c r="C60">
        <v>1790</v>
      </c>
      <c r="E60">
        <v>0.48333333333333339</v>
      </c>
      <c r="F60">
        <v>0.170375</v>
      </c>
    </row>
    <row r="61" spans="3:8">
      <c r="C61">
        <v>1791</v>
      </c>
      <c r="E61">
        <v>0.40508000000000005</v>
      </c>
    </row>
    <row r="62" spans="3:8">
      <c r="C62">
        <v>1792</v>
      </c>
      <c r="D62">
        <v>9.8821683624316421</v>
      </c>
    </row>
    <row r="63" spans="3:8">
      <c r="C63">
        <v>1793</v>
      </c>
      <c r="D63">
        <v>14.400411513833333</v>
      </c>
      <c r="F63">
        <v>0.11166666666666665</v>
      </c>
    </row>
    <row r="64" spans="3:8">
      <c r="C64">
        <v>1794</v>
      </c>
      <c r="D64">
        <v>13.15573865190577</v>
      </c>
      <c r="E64">
        <v>0.154</v>
      </c>
      <c r="F64">
        <v>0.25</v>
      </c>
      <c r="G64">
        <v>0.97549318004080821</v>
      </c>
      <c r="H64">
        <v>1.5835928247415716</v>
      </c>
    </row>
    <row r="65" spans="3:8">
      <c r="C65">
        <v>1795</v>
      </c>
      <c r="D65">
        <v>15.92018632575</v>
      </c>
      <c r="E65">
        <v>0.1</v>
      </c>
      <c r="G65">
        <v>0.52344445993415534</v>
      </c>
      <c r="H65">
        <v>1.3086111498353883</v>
      </c>
    </row>
    <row r="66" spans="3:8">
      <c r="C66">
        <v>1796</v>
      </c>
      <c r="D66">
        <v>17.666848116218748</v>
      </c>
      <c r="E66">
        <v>0.55000000000000004</v>
      </c>
      <c r="F66">
        <v>0.25</v>
      </c>
      <c r="G66">
        <v>2.5943129771550377</v>
      </c>
      <c r="H66">
        <v>1.179233171434108</v>
      </c>
    </row>
    <row r="67" spans="3:8">
      <c r="C67">
        <v>1797</v>
      </c>
      <c r="D67">
        <v>15.212691773343751</v>
      </c>
      <c r="E67">
        <v>0.23</v>
      </c>
      <c r="G67">
        <v>1.2599129037933456</v>
      </c>
      <c r="H67">
        <v>0.95862938332102388</v>
      </c>
    </row>
    <row r="68" spans="3:8">
      <c r="C68">
        <v>1798</v>
      </c>
      <c r="D68">
        <v>13.837095099000003</v>
      </c>
      <c r="E68">
        <v>0.15</v>
      </c>
      <c r="F68">
        <v>0.1</v>
      </c>
      <c r="G68">
        <v>0.90336880035632383</v>
      </c>
      <c r="H68">
        <v>0.60224586690421589</v>
      </c>
    </row>
    <row r="69" spans="3:8">
      <c r="C69">
        <v>1799</v>
      </c>
      <c r="D69">
        <v>14.1333016654375</v>
      </c>
      <c r="H69">
        <v>0.96550923884287743</v>
      </c>
    </row>
    <row r="70" spans="3:8">
      <c r="C70">
        <v>1800</v>
      </c>
      <c r="D70">
        <v>17.359921714799999</v>
      </c>
      <c r="E70">
        <v>0.60761999999999994</v>
      </c>
      <c r="F70">
        <v>0.22750000000000004</v>
      </c>
      <c r="G70">
        <v>2.9167758260586916</v>
      </c>
      <c r="H70">
        <v>1.0920748172021206</v>
      </c>
    </row>
    <row r="71" spans="3:8">
      <c r="C71">
        <v>1801</v>
      </c>
      <c r="D71">
        <v>18.106124678181644</v>
      </c>
    </row>
    <row r="72" spans="3:8">
      <c r="C72">
        <v>1802</v>
      </c>
      <c r="D72">
        <v>15.313636863000001</v>
      </c>
    </row>
    <row r="73" spans="3:8">
      <c r="C73">
        <v>1803</v>
      </c>
    </row>
    <row r="74" spans="3:8">
      <c r="C74">
        <v>1804</v>
      </c>
    </row>
    <row r="75" spans="3:8">
      <c r="C75">
        <v>1805</v>
      </c>
      <c r="D75">
        <v>15.067322237916665</v>
      </c>
    </row>
    <row r="76" spans="3:8">
      <c r="C76">
        <v>1806</v>
      </c>
      <c r="D76">
        <v>17.340630103125001</v>
      </c>
      <c r="E76">
        <v>0.55000000000000004</v>
      </c>
      <c r="F76">
        <v>0.4</v>
      </c>
      <c r="G76">
        <v>2.6431181024427475</v>
      </c>
      <c r="H76">
        <v>1.9222677108674526</v>
      </c>
    </row>
    <row r="77" spans="3:8">
      <c r="C77">
        <v>1807</v>
      </c>
      <c r="D77">
        <v>18.1805791768125</v>
      </c>
    </row>
    <row r="78" spans="3:8">
      <c r="C78">
        <v>1808</v>
      </c>
    </row>
    <row r="79" spans="3:8">
      <c r="C79">
        <v>1809</v>
      </c>
      <c r="D79">
        <v>24.760617378000006</v>
      </c>
      <c r="E79">
        <v>1.35</v>
      </c>
      <c r="G79">
        <v>4.5435054499067977</v>
      </c>
    </row>
    <row r="80" spans="3:8">
      <c r="C80">
        <v>1810</v>
      </c>
      <c r="D80">
        <v>29.997571159500001</v>
      </c>
      <c r="E80">
        <v>1.375</v>
      </c>
      <c r="G80">
        <v>3.8197536968604093</v>
      </c>
    </row>
    <row r="81" spans="3:8">
      <c r="C81">
        <v>1811</v>
      </c>
    </row>
    <row r="82" spans="3:8">
      <c r="C82">
        <v>1812</v>
      </c>
    </row>
    <row r="83" spans="3:8">
      <c r="C83">
        <v>1813</v>
      </c>
    </row>
    <row r="84" spans="3:8">
      <c r="C84">
        <v>1814</v>
      </c>
    </row>
    <row r="85" spans="3:8">
      <c r="C85">
        <v>1815</v>
      </c>
      <c r="D85">
        <v>39.493489937999996</v>
      </c>
      <c r="E85">
        <v>2.5</v>
      </c>
      <c r="F85">
        <v>1.86</v>
      </c>
      <c r="G85">
        <v>5.2751310066644272</v>
      </c>
      <c r="H85">
        <v>3.9246974689583336</v>
      </c>
    </row>
    <row r="86" spans="3:8">
      <c r="C86">
        <v>1816</v>
      </c>
    </row>
    <row r="87" spans="3:8">
      <c r="C87">
        <v>1817</v>
      </c>
    </row>
    <row r="88" spans="3:8">
      <c r="C88">
        <v>1818</v>
      </c>
    </row>
    <row r="89" spans="3:8">
      <c r="C89">
        <v>1819</v>
      </c>
    </row>
    <row r="90" spans="3:8">
      <c r="C90">
        <v>1824</v>
      </c>
    </row>
    <row r="91" spans="3:8">
      <c r="C91">
        <v>1825</v>
      </c>
    </row>
    <row r="92" spans="3:8">
      <c r="C92">
        <v>1826</v>
      </c>
      <c r="E92">
        <v>1.75</v>
      </c>
      <c r="F92">
        <v>0.75</v>
      </c>
    </row>
    <row r="93" spans="3:8">
      <c r="C93">
        <v>1827</v>
      </c>
      <c r="E93">
        <v>0.7</v>
      </c>
      <c r="F93">
        <v>0.6</v>
      </c>
      <c r="G93">
        <f>(E92*250)/(D94*3)</f>
        <v>1.8035287327891831</v>
      </c>
      <c r="H93">
        <f>(F92*250)/(D94*3)</f>
        <v>0.77294088548107842</v>
      </c>
    </row>
    <row r="94" spans="3:8">
      <c r="C94">
        <v>1828</v>
      </c>
      <c r="D94">
        <v>80.86</v>
      </c>
    </row>
    <row r="95" spans="3:8">
      <c r="C95">
        <v>1829</v>
      </c>
      <c r="D95">
        <v>81.66</v>
      </c>
    </row>
    <row r="96" spans="3:8">
      <c r="C96">
        <v>1830</v>
      </c>
    </row>
    <row r="97" spans="3:8">
      <c r="C97">
        <v>1831</v>
      </c>
    </row>
    <row r="98" spans="3:8">
      <c r="C98">
        <v>1832</v>
      </c>
      <c r="E98">
        <v>1.8</v>
      </c>
      <c r="F98">
        <v>1</v>
      </c>
    </row>
    <row r="99" spans="3:8">
      <c r="C99">
        <v>1833</v>
      </c>
    </row>
    <row r="100" spans="3:8">
      <c r="C100">
        <v>1834</v>
      </c>
      <c r="E100">
        <v>1.9</v>
      </c>
      <c r="F100">
        <v>0.97</v>
      </c>
    </row>
    <row r="101" spans="3:8">
      <c r="C101">
        <v>1835</v>
      </c>
    </row>
    <row r="102" spans="3:8">
      <c r="C102">
        <v>1836</v>
      </c>
      <c r="D102">
        <v>91.107330555189719</v>
      </c>
      <c r="G102">
        <f>(E103*250)/(D102*3)</f>
        <v>1.7378769893540058</v>
      </c>
      <c r="H102">
        <f>(F103*250)/(D102*3)</f>
        <v>0.82320488969400274</v>
      </c>
    </row>
    <row r="103" spans="3:8">
      <c r="C103">
        <v>1837</v>
      </c>
      <c r="E103">
        <v>1.9</v>
      </c>
      <c r="F103">
        <v>0.9</v>
      </c>
    </row>
    <row r="104" spans="3:8">
      <c r="C104">
        <v>1838</v>
      </c>
    </row>
    <row r="105" spans="3:8">
      <c r="C105">
        <v>1839</v>
      </c>
      <c r="E105">
        <v>1.8</v>
      </c>
      <c r="F105">
        <v>1</v>
      </c>
    </row>
    <row r="106" spans="3:8">
      <c r="C106">
        <v>1840</v>
      </c>
      <c r="E106">
        <v>0.5</v>
      </c>
      <c r="F106">
        <v>0.3</v>
      </c>
    </row>
    <row r="107" spans="3:8">
      <c r="C107">
        <v>1841</v>
      </c>
      <c r="E107">
        <v>0.6</v>
      </c>
      <c r="F107">
        <v>0.3</v>
      </c>
    </row>
    <row r="108" spans="3:8">
      <c r="C108">
        <v>1842</v>
      </c>
      <c r="E108">
        <v>0.5</v>
      </c>
      <c r="F108">
        <v>0.3</v>
      </c>
    </row>
    <row r="109" spans="3:8">
      <c r="C109">
        <v>1843</v>
      </c>
      <c r="E109">
        <v>0.4</v>
      </c>
      <c r="F109">
        <v>0.25</v>
      </c>
    </row>
    <row r="110" spans="3:8">
      <c r="C110">
        <v>1844</v>
      </c>
      <c r="E110">
        <v>0.5</v>
      </c>
      <c r="F110">
        <v>0.33</v>
      </c>
    </row>
    <row r="111" spans="3:8">
      <c r="C111">
        <v>1845</v>
      </c>
      <c r="E111">
        <v>0.65</v>
      </c>
      <c r="F111">
        <v>0.3</v>
      </c>
    </row>
    <row r="112" spans="3:8">
      <c r="C112">
        <v>1846</v>
      </c>
      <c r="E112">
        <v>0.45</v>
      </c>
      <c r="F112">
        <v>0.25</v>
      </c>
    </row>
    <row r="113" spans="3:10">
      <c r="C113">
        <v>1847</v>
      </c>
      <c r="E113">
        <v>0.65</v>
      </c>
      <c r="F113">
        <v>0.35</v>
      </c>
    </row>
    <row r="114" spans="3:10">
      <c r="C114">
        <v>1848</v>
      </c>
      <c r="E114">
        <v>0.5</v>
      </c>
      <c r="F114">
        <v>0.25</v>
      </c>
    </row>
    <row r="115" spans="3:10">
      <c r="C115">
        <v>1849</v>
      </c>
      <c r="E115">
        <v>0.45</v>
      </c>
      <c r="F115">
        <v>0.25</v>
      </c>
    </row>
    <row r="116" spans="3:10">
      <c r="C116">
        <v>1850</v>
      </c>
      <c r="E116">
        <v>0.4</v>
      </c>
      <c r="F116">
        <v>0.25</v>
      </c>
    </row>
    <row r="117" spans="3:10">
      <c r="C117">
        <v>1851</v>
      </c>
      <c r="E117">
        <v>0.4</v>
      </c>
      <c r="F117">
        <v>0.25</v>
      </c>
    </row>
    <row r="118" spans="3:10">
      <c r="C118">
        <v>1852</v>
      </c>
      <c r="E118">
        <v>0.5</v>
      </c>
      <c r="F118">
        <v>0.25</v>
      </c>
    </row>
    <row r="119" spans="3:10">
      <c r="C119">
        <v>1853</v>
      </c>
      <c r="E119">
        <v>0.45</v>
      </c>
      <c r="F119">
        <v>0.25</v>
      </c>
    </row>
    <row r="120" spans="3:10">
      <c r="C120">
        <v>1854</v>
      </c>
      <c r="D120">
        <v>18.348706760678269</v>
      </c>
      <c r="E120">
        <v>0.45</v>
      </c>
      <c r="F120">
        <v>0.25</v>
      </c>
      <c r="G120">
        <v>2.0437407654453024</v>
      </c>
      <c r="H120">
        <v>1.1354115363585013</v>
      </c>
      <c r="I120">
        <v>0.6</v>
      </c>
      <c r="J120">
        <v>0.4</v>
      </c>
    </row>
    <row r="121" spans="3:10">
      <c r="C121">
        <v>1855</v>
      </c>
      <c r="D121">
        <v>18.452094796880097</v>
      </c>
      <c r="E121">
        <v>0.5</v>
      </c>
      <c r="F121">
        <v>0.3</v>
      </c>
      <c r="G121">
        <v>2.2580995342443027</v>
      </c>
      <c r="H121">
        <v>1.3548597205465815</v>
      </c>
      <c r="I121">
        <v>0.55000000000000004</v>
      </c>
      <c r="J121">
        <v>0.45</v>
      </c>
    </row>
    <row r="122" spans="3:10">
      <c r="C122">
        <v>1856</v>
      </c>
      <c r="E122">
        <v>0.6</v>
      </c>
      <c r="F122">
        <v>0.3</v>
      </c>
    </row>
    <row r="123" spans="3:10">
      <c r="C123">
        <v>1857</v>
      </c>
    </row>
    <row r="124" spans="3:10">
      <c r="C124">
        <v>1858</v>
      </c>
      <c r="E124">
        <v>0.8</v>
      </c>
      <c r="F124">
        <v>0.4</v>
      </c>
    </row>
    <row r="125" spans="3:10">
      <c r="C125">
        <v>1859</v>
      </c>
      <c r="D125">
        <v>22.558937049109325</v>
      </c>
      <c r="E125">
        <v>0.85</v>
      </c>
      <c r="F125">
        <v>0.5</v>
      </c>
      <c r="G125">
        <v>3.1399233562793234</v>
      </c>
      <c r="H125">
        <v>1.8470137389878372</v>
      </c>
      <c r="I125">
        <v>1.3</v>
      </c>
      <c r="J125">
        <v>0.6</v>
      </c>
    </row>
    <row r="126" spans="3:10">
      <c r="C126">
        <v>1860</v>
      </c>
      <c r="E126">
        <v>0.9</v>
      </c>
      <c r="F126">
        <v>0.5</v>
      </c>
    </row>
    <row r="127" spans="3:10">
      <c r="C127">
        <v>1861</v>
      </c>
      <c r="E127">
        <v>1</v>
      </c>
      <c r="F127">
        <v>0.6</v>
      </c>
    </row>
    <row r="128" spans="3:10">
      <c r="C128">
        <v>1862</v>
      </c>
    </row>
    <row r="129" spans="3:10">
      <c r="C129">
        <v>1863</v>
      </c>
      <c r="E129">
        <v>1</v>
      </c>
      <c r="F129">
        <v>0.7</v>
      </c>
    </row>
    <row r="130" spans="3:10">
      <c r="C130">
        <v>1864</v>
      </c>
      <c r="E130">
        <v>1</v>
      </c>
      <c r="F130">
        <v>0.75</v>
      </c>
    </row>
    <row r="131" spans="3:10">
      <c r="C131">
        <v>1865</v>
      </c>
      <c r="D131">
        <v>19.804826639960385</v>
      </c>
      <c r="E131">
        <v>1.1000000000000001</v>
      </c>
      <c r="F131">
        <v>0.75</v>
      </c>
      <c r="G131">
        <v>4.6285013412695051</v>
      </c>
      <c r="H131">
        <v>3.1557963690473896</v>
      </c>
      <c r="I131">
        <v>1.5</v>
      </c>
      <c r="J131">
        <v>1</v>
      </c>
    </row>
    <row r="132" spans="3:10">
      <c r="C132">
        <v>1866</v>
      </c>
      <c r="D132">
        <v>26.862015264837307</v>
      </c>
      <c r="E132">
        <v>1.1000000000000001</v>
      </c>
      <c r="F132">
        <v>0.7</v>
      </c>
      <c r="G132">
        <v>3.4125014732851935</v>
      </c>
      <c r="H132">
        <v>2.1715918466360322</v>
      </c>
      <c r="I132">
        <v>1.5</v>
      </c>
      <c r="J132">
        <v>1</v>
      </c>
    </row>
    <row r="133" spans="3:10">
      <c r="C133">
        <v>1867</v>
      </c>
      <c r="D133">
        <v>26.835347757052695</v>
      </c>
      <c r="E133">
        <v>1.1000000000000001</v>
      </c>
      <c r="F133">
        <v>0.7</v>
      </c>
      <c r="G133">
        <v>3.4158926314854785</v>
      </c>
      <c r="H133">
        <v>2.1737498563998496</v>
      </c>
      <c r="I133">
        <v>1.5</v>
      </c>
      <c r="J133">
        <v>1</v>
      </c>
    </row>
    <row r="134" spans="3:10">
      <c r="C134">
        <v>1868</v>
      </c>
      <c r="D134">
        <v>27.728652961021933</v>
      </c>
    </row>
    <row r="135" spans="3:10">
      <c r="C135">
        <v>1869</v>
      </c>
      <c r="D135">
        <v>27.748413604991157</v>
      </c>
    </row>
    <row r="136" spans="3:10">
      <c r="C136">
        <v>1870</v>
      </c>
      <c r="D136">
        <v>27.460942988960387</v>
      </c>
    </row>
    <row r="137" spans="3:10">
      <c r="C137">
        <v>1871</v>
      </c>
      <c r="D137">
        <v>29.942273016629617</v>
      </c>
      <c r="E137">
        <v>1.17</v>
      </c>
      <c r="F137">
        <v>0.87083330000000003</v>
      </c>
      <c r="G137">
        <v>3.2562658134153524</v>
      </c>
      <c r="H137">
        <v>2.4236450461313468</v>
      </c>
      <c r="I137">
        <v>1.5</v>
      </c>
      <c r="J137">
        <v>0.9</v>
      </c>
    </row>
    <row r="138" spans="3:10">
      <c r="C138">
        <v>1872</v>
      </c>
      <c r="D138">
        <v>27.706159583523078</v>
      </c>
      <c r="E138">
        <v>1.2041667</v>
      </c>
      <c r="F138">
        <v>0.80625000000000002</v>
      </c>
      <c r="G138">
        <v>3.621838122223072</v>
      </c>
      <c r="H138">
        <v>2.4250022742219595</v>
      </c>
      <c r="I138">
        <v>1.6</v>
      </c>
      <c r="J138">
        <v>1.1000000000000001</v>
      </c>
    </row>
    <row r="139" spans="3:10">
      <c r="C139">
        <v>1873</v>
      </c>
      <c r="D139">
        <v>11.868937893340096</v>
      </c>
      <c r="E139">
        <v>1.1625000000000001</v>
      </c>
      <c r="F139">
        <v>0.75416669999999997</v>
      </c>
      <c r="H139">
        <v>5.2951010077544396</v>
      </c>
      <c r="I139">
        <v>1.7</v>
      </c>
      <c r="J139">
        <v>1.2</v>
      </c>
    </row>
    <row r="140" spans="3:10">
      <c r="C140">
        <v>1874</v>
      </c>
      <c r="D140">
        <v>31.512213573017021</v>
      </c>
      <c r="E140">
        <v>1.1499999999999999</v>
      </c>
      <c r="F140">
        <v>0.86458330000000005</v>
      </c>
      <c r="G140">
        <v>3.0411488901367623</v>
      </c>
      <c r="H140">
        <v>2.2863709071528517</v>
      </c>
      <c r="I140">
        <v>1.5</v>
      </c>
      <c r="J140">
        <v>1.1000000000000001</v>
      </c>
    </row>
    <row r="141" spans="3:10">
      <c r="C141">
        <v>1875</v>
      </c>
      <c r="D141">
        <v>31.272969900570867</v>
      </c>
      <c r="E141">
        <v>1.2416666999999999</v>
      </c>
      <c r="F141">
        <v>0.94166669999999997</v>
      </c>
      <c r="G141">
        <v>3.3086791989689215</v>
      </c>
      <c r="H141">
        <v>2.5092667965177027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4921-E84A-48A0-80A9-42C2536ABD24}">
  <dimension ref="B2:E10"/>
  <sheetViews>
    <sheetView workbookViewId="0">
      <selection activeCell="C5" sqref="C5:E10"/>
    </sheetView>
  </sheetViews>
  <sheetFormatPr defaultRowHeight="14.25"/>
  <cols>
    <col min="2" max="2" width="14.06640625" customWidth="1"/>
    <col min="3" max="3" width="12.9296875" customWidth="1"/>
    <col min="4" max="4" width="16.59765625" customWidth="1"/>
    <col min="5" max="5" width="11.33203125" bestFit="1" customWidth="1"/>
  </cols>
  <sheetData>
    <row r="2" spans="2:5" ht="15">
      <c r="B2" s="89" t="s">
        <v>578</v>
      </c>
    </row>
    <row r="4" spans="2:5" ht="99.75">
      <c r="B4" s="90" t="s">
        <v>568</v>
      </c>
      <c r="C4" s="90" t="s">
        <v>569</v>
      </c>
      <c r="D4" s="90" t="s">
        <v>570</v>
      </c>
      <c r="E4" s="90" t="s">
        <v>571</v>
      </c>
    </row>
    <row r="5" spans="2:5">
      <c r="B5" s="90" t="s">
        <v>572</v>
      </c>
      <c r="C5" s="91">
        <v>9.1300000000000008</v>
      </c>
      <c r="D5" s="91">
        <f>0.08*150</f>
        <v>12</v>
      </c>
      <c r="E5" s="91">
        <f t="shared" ref="E5:E10" si="0">D5/C5</f>
        <v>1.3143483023001095</v>
      </c>
    </row>
    <row r="6" spans="2:5">
      <c r="B6" s="90" t="s">
        <v>573</v>
      </c>
      <c r="C6" s="91">
        <v>13.38</v>
      </c>
      <c r="D6" s="91">
        <f>0.14*150</f>
        <v>21.000000000000004</v>
      </c>
      <c r="E6" s="91">
        <f t="shared" si="0"/>
        <v>1.5695067264573992</v>
      </c>
    </row>
    <row r="7" spans="2:5">
      <c r="B7" s="90" t="s">
        <v>574</v>
      </c>
      <c r="C7" s="91">
        <v>14.08</v>
      </c>
      <c r="D7" s="91">
        <f>0.15*150</f>
        <v>22.5</v>
      </c>
      <c r="E7" s="91">
        <f t="shared" si="0"/>
        <v>1.5980113636363635</v>
      </c>
    </row>
    <row r="8" spans="2:5">
      <c r="B8" s="90" t="s">
        <v>575</v>
      </c>
      <c r="C8" s="91">
        <v>21.42</v>
      </c>
      <c r="D8" s="91">
        <f>0.14*150</f>
        <v>21.000000000000004</v>
      </c>
      <c r="E8" s="91">
        <f t="shared" si="0"/>
        <v>0.98039215686274517</v>
      </c>
    </row>
    <row r="9" spans="2:5">
      <c r="B9" s="90" t="s">
        <v>576</v>
      </c>
      <c r="C9" s="91">
        <v>27.94</v>
      </c>
      <c r="D9" s="91">
        <f>0.15*150</f>
        <v>22.5</v>
      </c>
      <c r="E9" s="91">
        <f t="shared" si="0"/>
        <v>0.80529706513958477</v>
      </c>
    </row>
    <row r="10" spans="2:5">
      <c r="B10" s="90" t="s">
        <v>577</v>
      </c>
      <c r="C10" s="91">
        <v>36.47</v>
      </c>
      <c r="D10" s="91">
        <f>0.25*150</f>
        <v>37.5</v>
      </c>
      <c r="E10" s="91">
        <f t="shared" si="0"/>
        <v>1.0282423910063065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B10CE-ADA6-4EC2-B777-C8CE1F2A9301}">
  <sheetPr>
    <tabColor rgb="FFFFFF00"/>
  </sheetPr>
  <dimension ref="A1:AH365"/>
  <sheetViews>
    <sheetView workbookViewId="0">
      <pane ySplit="2" topLeftCell="A3" activePane="bottomLeft" state="frozen"/>
      <selection pane="bottomLeft" activeCell="F7" sqref="F7"/>
    </sheetView>
  </sheetViews>
  <sheetFormatPr defaultRowHeight="14.25"/>
  <cols>
    <col min="1" max="1" width="10.265625" style="2" customWidth="1"/>
    <col min="2" max="2" width="8.46484375" style="42" customWidth="1"/>
    <col min="3" max="3" width="9.59765625" style="36" customWidth="1"/>
    <col min="4" max="4" width="7.06640625" style="62" customWidth="1"/>
    <col min="5" max="5" width="6.796875" style="2" customWidth="1"/>
    <col min="6" max="6" width="11.06640625" style="171" customWidth="1"/>
    <col min="7" max="7" width="7" style="2" customWidth="1"/>
    <col min="8" max="8" width="7.59765625" style="2" customWidth="1"/>
    <col min="9" max="9" width="6.53125" style="2" customWidth="1"/>
    <col min="10" max="10" width="6.6640625" style="2" customWidth="1"/>
    <col min="11" max="11" width="9.3984375" style="43" customWidth="1"/>
    <col min="12" max="12" width="10.9296875" style="36" customWidth="1"/>
    <col min="13" max="13" width="10.06640625" style="5" customWidth="1"/>
    <col min="14" max="14" width="10.796875" style="2" customWidth="1"/>
    <col min="15" max="15" width="10.796875" style="1" customWidth="1"/>
    <col min="16" max="16" width="9.53125" bestFit="1" customWidth="1"/>
    <col min="17" max="18" width="22.796875" customWidth="1"/>
    <col min="19" max="19" width="4.33203125" bestFit="1" customWidth="1"/>
    <col min="20" max="20" width="3.796875" bestFit="1" customWidth="1"/>
    <col min="21" max="21" width="4.796875" bestFit="1" customWidth="1"/>
    <col min="22" max="23" width="11.796875" bestFit="1" customWidth="1"/>
    <col min="24" max="24" width="7.9296875" bestFit="1" customWidth="1"/>
    <col min="25" max="25" width="8.33203125" bestFit="1" customWidth="1"/>
    <col min="26" max="26" width="6.796875" bestFit="1" customWidth="1"/>
    <col min="27" max="27" width="11.796875" bestFit="1" customWidth="1"/>
    <col min="28" max="28" width="8" bestFit="1" customWidth="1"/>
    <col min="29" max="29" width="7.46484375" bestFit="1" customWidth="1"/>
    <col min="30" max="30" width="7.19921875" bestFit="1" customWidth="1"/>
    <col min="31" max="31" width="6.19921875" bestFit="1" customWidth="1"/>
    <col min="32" max="32" width="10.33203125" bestFit="1" customWidth="1"/>
    <col min="33" max="33" width="10.53125" bestFit="1" customWidth="1"/>
    <col min="34" max="34" width="5.796875" bestFit="1" customWidth="1"/>
    <col min="35" max="35" width="5.53125" bestFit="1" customWidth="1"/>
    <col min="36" max="36" width="11.796875" bestFit="1" customWidth="1"/>
    <col min="37" max="37" width="6.796875" bestFit="1" customWidth="1"/>
    <col min="38" max="38" width="10.59765625" bestFit="1" customWidth="1"/>
    <col min="39" max="39" width="6" bestFit="1" customWidth="1"/>
    <col min="40" max="40" width="11.796875" bestFit="1" customWidth="1"/>
    <col min="41" max="41" width="5.33203125" bestFit="1" customWidth="1"/>
    <col min="42" max="42" width="8" bestFit="1" customWidth="1"/>
    <col min="43" max="43" width="6" bestFit="1" customWidth="1"/>
    <col min="44" max="44" width="3.19921875" bestFit="1" customWidth="1"/>
    <col min="45" max="45" width="3.53125" bestFit="1" customWidth="1"/>
    <col min="46" max="46" width="7.46484375" bestFit="1" customWidth="1"/>
    <col min="47" max="47" width="7.796875" bestFit="1" customWidth="1"/>
    <col min="48" max="48" width="7.19921875" bestFit="1" customWidth="1"/>
    <col min="49" max="49" width="6.9296875" bestFit="1" customWidth="1"/>
    <col min="50" max="50" width="5.9296875" bestFit="1" customWidth="1"/>
    <col min="51" max="52" width="11.796875" bestFit="1" customWidth="1"/>
    <col min="53" max="53" width="10.53125" bestFit="1" customWidth="1"/>
    <col min="54" max="54" width="10.33203125" bestFit="1" customWidth="1"/>
    <col min="55" max="55" width="4.46484375" bestFit="1" customWidth="1"/>
    <col min="56" max="56" width="11.796875" bestFit="1" customWidth="1"/>
    <col min="57" max="57" width="13" bestFit="1" customWidth="1"/>
    <col min="58" max="58" width="11.796875" bestFit="1" customWidth="1"/>
    <col min="59" max="59" width="6.796875" bestFit="1" customWidth="1"/>
    <col min="60" max="60" width="11.796875" bestFit="1" customWidth="1"/>
  </cols>
  <sheetData>
    <row r="1" spans="1:15">
      <c r="A1" t="s">
        <v>753</v>
      </c>
      <c r="B1" s="106"/>
      <c r="C1" s="1"/>
      <c r="D1" s="164"/>
      <c r="E1"/>
      <c r="F1" s="68"/>
      <c r="G1"/>
      <c r="H1"/>
      <c r="I1"/>
      <c r="J1"/>
      <c r="K1" s="105"/>
      <c r="L1" s="1"/>
      <c r="M1" s="4"/>
      <c r="N1"/>
    </row>
    <row r="2" spans="1:15" ht="63.4" customHeight="1">
      <c r="A2" s="143" t="s">
        <v>5</v>
      </c>
      <c r="B2" s="144" t="s">
        <v>0</v>
      </c>
      <c r="C2" s="145" t="s">
        <v>768</v>
      </c>
      <c r="D2" s="146" t="s">
        <v>2</v>
      </c>
      <c r="E2" s="144" t="s">
        <v>6</v>
      </c>
      <c r="F2" s="168" t="s">
        <v>273</v>
      </c>
      <c r="G2" s="144" t="s">
        <v>767</v>
      </c>
      <c r="H2" s="144" t="s">
        <v>766</v>
      </c>
      <c r="I2" s="144" t="s">
        <v>3</v>
      </c>
      <c r="J2" s="144" t="s">
        <v>274</v>
      </c>
      <c r="K2" s="144" t="s">
        <v>764</v>
      </c>
      <c r="L2" s="145" t="s">
        <v>764</v>
      </c>
      <c r="M2" s="144" t="s">
        <v>757</v>
      </c>
      <c r="N2" s="144" t="s">
        <v>630</v>
      </c>
      <c r="O2" s="145" t="s">
        <v>630</v>
      </c>
    </row>
    <row r="3" spans="1:15" ht="30.4" customHeight="1">
      <c r="A3" s="143" t="s">
        <v>759</v>
      </c>
      <c r="B3" s="144" t="s">
        <v>758</v>
      </c>
      <c r="C3" s="145" t="s">
        <v>760</v>
      </c>
      <c r="D3" s="146" t="s">
        <v>760</v>
      </c>
      <c r="E3" s="144" t="s">
        <v>761</v>
      </c>
      <c r="F3" s="168"/>
      <c r="G3" s="144" t="s">
        <v>761</v>
      </c>
      <c r="H3" s="144" t="s">
        <v>762</v>
      </c>
      <c r="I3" s="144" t="s">
        <v>761</v>
      </c>
      <c r="J3" s="144"/>
      <c r="K3" s="144" t="s">
        <v>763</v>
      </c>
      <c r="L3" s="145" t="s">
        <v>765</v>
      </c>
      <c r="M3" s="144"/>
      <c r="N3" s="144"/>
      <c r="O3" s="145"/>
    </row>
    <row r="4" spans="1:15" ht="18.399999999999999" customHeight="1">
      <c r="A4" s="143" t="s">
        <v>754</v>
      </c>
      <c r="B4" s="144" t="s">
        <v>755</v>
      </c>
      <c r="C4" s="144" t="s">
        <v>755</v>
      </c>
      <c r="D4" s="144" t="s">
        <v>755</v>
      </c>
      <c r="E4" s="144" t="s">
        <v>755</v>
      </c>
      <c r="F4" s="144" t="s">
        <v>755</v>
      </c>
      <c r="G4" s="144" t="s">
        <v>755</v>
      </c>
      <c r="H4" s="144" t="s">
        <v>755</v>
      </c>
      <c r="I4" s="144" t="s">
        <v>755</v>
      </c>
      <c r="J4" s="144" t="s">
        <v>755</v>
      </c>
      <c r="K4" s="144" t="s">
        <v>755</v>
      </c>
      <c r="L4" s="144" t="s">
        <v>755</v>
      </c>
      <c r="M4" s="144" t="s">
        <v>755</v>
      </c>
      <c r="N4" s="144" t="s">
        <v>755</v>
      </c>
      <c r="O4" s="145" t="s">
        <v>756</v>
      </c>
    </row>
    <row r="5" spans="1:15" ht="21" customHeight="1">
      <c r="A5" s="143">
        <v>1706</v>
      </c>
      <c r="B5" s="168">
        <v>0.45</v>
      </c>
      <c r="C5" s="168"/>
      <c r="D5" s="168"/>
      <c r="E5" s="168"/>
      <c r="F5" s="168"/>
      <c r="G5" s="168">
        <v>0.7</v>
      </c>
      <c r="H5" s="168"/>
      <c r="I5" s="168"/>
      <c r="J5" s="168"/>
      <c r="K5" s="168">
        <v>2</v>
      </c>
      <c r="L5" s="169">
        <f>K5*0.257732</f>
        <v>0.51546400000000003</v>
      </c>
      <c r="M5" s="168"/>
      <c r="N5" s="168"/>
      <c r="O5" s="168"/>
    </row>
    <row r="6" spans="1:15" ht="21" customHeight="1">
      <c r="A6" s="143">
        <v>1708</v>
      </c>
      <c r="B6" s="168">
        <v>0.45</v>
      </c>
      <c r="C6" s="168"/>
      <c r="D6" s="168"/>
      <c r="E6" s="168">
        <v>0.27</v>
      </c>
      <c r="F6" s="168"/>
      <c r="G6" s="168">
        <v>0.7</v>
      </c>
      <c r="H6" s="168"/>
      <c r="I6" s="168"/>
      <c r="J6" s="168"/>
      <c r="K6" s="168">
        <v>2</v>
      </c>
      <c r="L6" s="169">
        <f>K6*0.257732</f>
        <v>0.51546400000000003</v>
      </c>
      <c r="M6" s="168"/>
      <c r="N6" s="168"/>
      <c r="O6" s="168"/>
    </row>
    <row r="7" spans="1:15" ht="21" customHeight="1">
      <c r="A7" s="143">
        <v>1718</v>
      </c>
      <c r="B7" s="168">
        <v>1.29</v>
      </c>
      <c r="C7" s="172">
        <v>0.02</v>
      </c>
      <c r="D7" s="168">
        <v>4.6249999999999999E-2</v>
      </c>
      <c r="E7" s="168">
        <v>0.24</v>
      </c>
      <c r="F7" s="169">
        <f>2.110043*B7+12.19512*C7+12.19512*D7+E7*0.42735</f>
        <v>3.6324461700000001</v>
      </c>
      <c r="G7" s="168">
        <v>1.0900000000000001</v>
      </c>
      <c r="H7" s="168">
        <v>0.02</v>
      </c>
      <c r="I7" s="172">
        <f>0.02*1.34/0.03</f>
        <v>0.89333333333333342</v>
      </c>
      <c r="J7" s="169">
        <f>G7*0.15873+H7*7.042254+I7*0.079365</f>
        <v>0.38476018000000006</v>
      </c>
      <c r="K7" s="168">
        <v>2.0550000000000002</v>
      </c>
      <c r="L7" s="169">
        <f>K7*0.257732</f>
        <v>0.52963926000000006</v>
      </c>
      <c r="M7" s="169">
        <f>(F7+J7+L7)*0.05</f>
        <v>0.22734228050000002</v>
      </c>
      <c r="N7" s="169">
        <f>F7+J7+L7+M7</f>
        <v>4.7741878905000004</v>
      </c>
      <c r="O7" s="169">
        <v>0.98300528665395004</v>
      </c>
    </row>
    <row r="8" spans="1:15" ht="23.55" customHeight="1">
      <c r="A8" s="143">
        <v>1725</v>
      </c>
      <c r="B8" s="168">
        <f>((0.03+0.04)/2)*8</f>
        <v>0.28000000000000003</v>
      </c>
      <c r="C8" s="168"/>
      <c r="D8" s="168">
        <v>6.875E-3</v>
      </c>
      <c r="E8" s="168">
        <v>0.24</v>
      </c>
      <c r="F8" s="168"/>
      <c r="G8" s="168"/>
      <c r="H8" s="168">
        <v>0.02</v>
      </c>
      <c r="I8" s="168"/>
      <c r="J8" s="168"/>
      <c r="K8" s="168"/>
      <c r="L8" s="168"/>
      <c r="M8" s="168"/>
      <c r="N8" s="168"/>
      <c r="O8" s="168"/>
    </row>
    <row r="9" spans="1:15" ht="25.5" customHeight="1">
      <c r="A9" s="143">
        <v>1726</v>
      </c>
      <c r="B9" s="168">
        <v>0.3</v>
      </c>
      <c r="C9" s="168"/>
      <c r="D9" s="168"/>
      <c r="E9" s="168">
        <v>0.24</v>
      </c>
      <c r="F9" s="168"/>
      <c r="G9" s="168"/>
      <c r="H9" s="168">
        <v>0.02</v>
      </c>
      <c r="I9" s="168"/>
      <c r="J9" s="168"/>
      <c r="K9" s="168"/>
      <c r="L9" s="168"/>
      <c r="M9" s="168"/>
      <c r="N9" s="168"/>
      <c r="O9" s="168"/>
    </row>
    <row r="10" spans="1:15" ht="15" customHeight="1">
      <c r="A10" s="143">
        <v>1727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15" ht="19.5" customHeight="1">
      <c r="A11" s="143">
        <v>1728</v>
      </c>
      <c r="B11" s="168">
        <v>0.81499999999999995</v>
      </c>
      <c r="C11" s="168">
        <v>0.02</v>
      </c>
      <c r="D11" s="168">
        <v>0.04</v>
      </c>
      <c r="E11" s="168">
        <v>0.24</v>
      </c>
      <c r="F11" s="169">
        <f>2.110043*B11+12.19512*C11+12.19512*D11+E11*0.42735</f>
        <v>2.5539562450000002</v>
      </c>
      <c r="G11" s="168">
        <v>1.1724999999999999</v>
      </c>
      <c r="H11" s="168">
        <v>0.02</v>
      </c>
      <c r="I11" s="172">
        <f>0.02*(1.34/0.03)</f>
        <v>0.89333333333333342</v>
      </c>
      <c r="J11" s="169">
        <f>G11*0.15873+H11*7.042254+I11*0.079365</f>
        <v>0.397855405</v>
      </c>
      <c r="K11" s="172">
        <f>(K13+K14)/2</f>
        <v>3.7749999999999999</v>
      </c>
      <c r="L11" s="169">
        <f>K11*0.257732</f>
        <v>0.97293830000000003</v>
      </c>
      <c r="M11" s="169">
        <f>(F11+J11+L11)*0.05</f>
        <v>0.19623749750000002</v>
      </c>
      <c r="N11" s="169">
        <f>F11+J11+L11+M11</f>
        <v>4.1209874475000001</v>
      </c>
      <c r="O11" s="169">
        <v>0.84851131544025005</v>
      </c>
    </row>
    <row r="12" spans="1:15" ht="26.55" customHeight="1">
      <c r="A12" s="143">
        <v>1729</v>
      </c>
      <c r="B12" s="168">
        <v>0.76666666666666661</v>
      </c>
      <c r="C12" s="168"/>
      <c r="D12" s="168">
        <v>3.2500000000000001E-2</v>
      </c>
      <c r="E12" s="168">
        <v>0.24</v>
      </c>
      <c r="F12" s="168"/>
      <c r="G12" s="168">
        <v>1.2</v>
      </c>
      <c r="H12" s="168">
        <v>0.01</v>
      </c>
      <c r="I12" s="168"/>
      <c r="J12" s="168"/>
      <c r="K12" s="168"/>
      <c r="L12" s="168"/>
      <c r="M12" s="168"/>
      <c r="N12" s="168"/>
      <c r="O12" s="168"/>
    </row>
    <row r="13" spans="1:15" ht="27.5" customHeight="1">
      <c r="A13" s="143">
        <v>1730</v>
      </c>
      <c r="B13" s="168">
        <v>0.57999999999999996</v>
      </c>
      <c r="C13" s="168"/>
      <c r="D13" s="168"/>
      <c r="E13" s="168"/>
      <c r="F13" s="168"/>
      <c r="G13" s="168">
        <v>0.9</v>
      </c>
      <c r="H13" s="168"/>
      <c r="I13" s="168"/>
      <c r="J13" s="168"/>
      <c r="K13" s="168">
        <v>3.33</v>
      </c>
      <c r="L13" s="169">
        <f>K13*0.257732</f>
        <v>0.85824756000000002</v>
      </c>
      <c r="M13" s="168"/>
      <c r="N13" s="168"/>
      <c r="O13" s="168"/>
    </row>
    <row r="14" spans="1:15" ht="26" customHeight="1">
      <c r="A14" s="143">
        <v>1731</v>
      </c>
      <c r="B14" s="168">
        <v>0.62883148360760299</v>
      </c>
      <c r="C14" s="168"/>
      <c r="D14" s="168"/>
      <c r="E14" s="168"/>
      <c r="F14" s="168"/>
      <c r="G14" s="168">
        <v>1.35</v>
      </c>
      <c r="H14" s="168">
        <v>0.03</v>
      </c>
      <c r="I14" s="168"/>
      <c r="J14" s="168"/>
      <c r="K14" s="168">
        <v>4.22</v>
      </c>
      <c r="L14" s="169">
        <f>K14*0.257732</f>
        <v>1.0876290399999999</v>
      </c>
      <c r="M14" s="168"/>
      <c r="N14" s="168"/>
      <c r="O14" s="168"/>
    </row>
    <row r="15" spans="1:15" ht="18.5" customHeight="1">
      <c r="A15" s="143">
        <v>1732</v>
      </c>
      <c r="B15" s="168"/>
      <c r="C15" s="168"/>
      <c r="D15" s="168">
        <v>0.04</v>
      </c>
      <c r="E15" s="168">
        <v>0.27</v>
      </c>
      <c r="F15" s="168"/>
      <c r="G15" s="168">
        <v>0.82676190476190459</v>
      </c>
      <c r="H15" s="168">
        <v>0.03</v>
      </c>
      <c r="I15" s="168"/>
      <c r="J15" s="168"/>
      <c r="K15" s="168">
        <v>2</v>
      </c>
      <c r="L15" s="169">
        <f>K15*0.257732</f>
        <v>0.51546400000000003</v>
      </c>
      <c r="M15" s="168"/>
      <c r="N15" s="168"/>
      <c r="O15" s="168"/>
    </row>
    <row r="16" spans="1:15" ht="25.5" customHeight="1">
      <c r="A16" s="143">
        <v>1733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</row>
    <row r="17" spans="1:15" ht="20.55" customHeight="1">
      <c r="A17" s="143">
        <v>1734</v>
      </c>
      <c r="B17" s="168"/>
      <c r="C17" s="168"/>
      <c r="D17" s="168"/>
      <c r="E17" s="168">
        <v>0.25</v>
      </c>
      <c r="F17" s="168"/>
      <c r="G17" s="168"/>
      <c r="H17" s="168">
        <v>0.01</v>
      </c>
      <c r="I17" s="168"/>
      <c r="J17" s="168"/>
      <c r="K17" s="168"/>
      <c r="L17" s="168"/>
      <c r="M17" s="168"/>
      <c r="N17" s="168"/>
      <c r="O17" s="168"/>
    </row>
    <row r="18" spans="1:15">
      <c r="A18" s="111">
        <v>1735</v>
      </c>
      <c r="B18" s="169"/>
      <c r="C18" s="169"/>
      <c r="D18" s="169"/>
      <c r="E18" s="169">
        <v>0.24</v>
      </c>
      <c r="F18" s="169"/>
      <c r="G18" s="169">
        <v>1.2</v>
      </c>
      <c r="H18" s="169">
        <v>0.02</v>
      </c>
      <c r="I18" s="169"/>
      <c r="J18" s="169"/>
      <c r="K18" s="169"/>
      <c r="L18" s="169"/>
      <c r="M18" s="169"/>
      <c r="N18" s="169"/>
      <c r="O18" s="169"/>
    </row>
    <row r="19" spans="1:15">
      <c r="A19" s="111">
        <v>1736</v>
      </c>
      <c r="B19" s="169"/>
      <c r="C19" s="169"/>
      <c r="D19" s="169">
        <v>9.5833333333333326E-2</v>
      </c>
      <c r="E19" s="169">
        <v>0.25</v>
      </c>
      <c r="F19" s="169"/>
      <c r="G19" s="169">
        <v>1.2</v>
      </c>
      <c r="H19" s="169">
        <v>0.01</v>
      </c>
      <c r="I19" s="169"/>
      <c r="J19" s="169"/>
      <c r="K19" s="169"/>
      <c r="L19" s="169"/>
      <c r="M19" s="169"/>
      <c r="N19" s="169"/>
      <c r="O19" s="169"/>
    </row>
    <row r="20" spans="1:15">
      <c r="A20" s="111">
        <v>1737</v>
      </c>
      <c r="B20" s="169">
        <v>0.8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</row>
    <row r="21" spans="1:15">
      <c r="A21" s="111">
        <v>1738</v>
      </c>
      <c r="B21" s="173">
        <v>0.8</v>
      </c>
      <c r="C21" s="169">
        <v>1.325E-2</v>
      </c>
      <c r="D21" s="169">
        <v>3.6666666666666667E-2</v>
      </c>
      <c r="E21" s="169">
        <v>0.24</v>
      </c>
      <c r="F21" s="169">
        <f>2.110043*B21+12.19512*C21+12.19512*D21+E21*0.42735</f>
        <v>2.3993381400000002</v>
      </c>
      <c r="G21" s="169">
        <v>1.29</v>
      </c>
      <c r="H21" s="169">
        <v>0.03</v>
      </c>
      <c r="I21" s="169">
        <v>1.34</v>
      </c>
      <c r="J21" s="169">
        <f>G21*0.15873+H21*7.042254+I21*0.079365</f>
        <v>0.52237842000000001</v>
      </c>
      <c r="K21" s="169">
        <v>3.47</v>
      </c>
      <c r="L21" s="169">
        <f>K21*0.257732</f>
        <v>0.89433004000000016</v>
      </c>
      <c r="M21" s="169">
        <f>(F21+J21+L21)*0.05</f>
        <v>0.19080233000000002</v>
      </c>
      <c r="N21" s="169">
        <f>F21+J21+L21+M21</f>
        <v>4.0068489300000003</v>
      </c>
      <c r="O21" s="169">
        <v>0.83102046808200003</v>
      </c>
    </row>
    <row r="22" spans="1:15">
      <c r="A22" s="111">
        <v>1741</v>
      </c>
      <c r="B22" s="169"/>
      <c r="C22" s="169"/>
      <c r="D22" s="169"/>
      <c r="E22" s="169">
        <v>0.24</v>
      </c>
      <c r="F22" s="169"/>
      <c r="G22" s="169">
        <v>1.7</v>
      </c>
      <c r="H22" s="169">
        <v>0.03</v>
      </c>
      <c r="I22" s="169">
        <v>1.2</v>
      </c>
      <c r="J22" s="169"/>
      <c r="K22" s="169"/>
      <c r="L22" s="169"/>
      <c r="M22" s="169"/>
      <c r="N22" s="169"/>
      <c r="O22" s="169"/>
    </row>
    <row r="23" spans="1:15">
      <c r="A23" s="111">
        <v>1744</v>
      </c>
      <c r="B23" s="169">
        <v>1.3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</row>
    <row r="24" spans="1:15">
      <c r="A24" s="111">
        <v>1745</v>
      </c>
      <c r="B24" s="169">
        <v>1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</row>
    <row r="25" spans="1:15">
      <c r="A25" s="111">
        <v>1746</v>
      </c>
      <c r="B25" s="169">
        <v>0.9</v>
      </c>
      <c r="C25" s="169"/>
      <c r="D25" s="169"/>
      <c r="E25" s="169"/>
      <c r="F25" s="169"/>
      <c r="G25" s="169"/>
      <c r="H25" s="169">
        <v>0.04</v>
      </c>
      <c r="I25" s="169"/>
      <c r="J25" s="169"/>
      <c r="K25" s="169"/>
      <c r="L25" s="169"/>
      <c r="M25" s="169"/>
      <c r="N25" s="169"/>
      <c r="O25" s="169"/>
    </row>
    <row r="26" spans="1:15">
      <c r="A26" s="111">
        <v>1747</v>
      </c>
      <c r="B26" s="169">
        <v>0.9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</row>
    <row r="27" spans="1:15">
      <c r="A27" s="111">
        <v>1748</v>
      </c>
      <c r="B27" s="169">
        <v>1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</row>
    <row r="28" spans="1:15">
      <c r="A28" s="111">
        <v>1749</v>
      </c>
      <c r="B28" s="169">
        <v>1.7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</row>
    <row r="29" spans="1:15">
      <c r="A29" s="111">
        <v>1750</v>
      </c>
      <c r="B29" s="169">
        <v>1.2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</row>
    <row r="30" spans="1:15">
      <c r="A30" s="111">
        <v>1751</v>
      </c>
      <c r="B30" s="169">
        <v>1.1499999999999999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</row>
    <row r="31" spans="1:15">
      <c r="A31" s="111">
        <v>1752</v>
      </c>
      <c r="B31" s="169">
        <v>1.1000000000000001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</row>
    <row r="32" spans="1:15">
      <c r="A32" s="111">
        <v>1753</v>
      </c>
      <c r="B32" s="169">
        <v>0.9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</row>
    <row r="33" spans="1:15">
      <c r="A33" s="111">
        <v>1757</v>
      </c>
      <c r="B33" s="169">
        <v>0.75</v>
      </c>
      <c r="C33" s="169"/>
      <c r="D33" s="169"/>
      <c r="E33" s="169"/>
      <c r="F33" s="169"/>
      <c r="G33" s="169"/>
      <c r="H33" s="169">
        <v>0.04</v>
      </c>
      <c r="I33" s="169">
        <v>1.8</v>
      </c>
      <c r="J33" s="169"/>
      <c r="K33" s="169">
        <v>4.03</v>
      </c>
      <c r="L33" s="169"/>
      <c r="M33" s="169"/>
      <c r="N33" s="169"/>
      <c r="O33" s="169"/>
    </row>
    <row r="34" spans="1:15">
      <c r="A34" s="111">
        <v>1758</v>
      </c>
      <c r="B34" s="169">
        <v>0.9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</row>
    <row r="35" spans="1:15">
      <c r="A35" s="111">
        <v>1759</v>
      </c>
      <c r="B35" s="169">
        <v>0.85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  <row r="36" spans="1:15">
      <c r="A36" s="111">
        <v>1760</v>
      </c>
      <c r="B36" s="169">
        <v>0.75666666666666671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15">
      <c r="A37" s="111">
        <v>1761</v>
      </c>
      <c r="B37" s="169">
        <v>0.74333333333333329</v>
      </c>
      <c r="C37" s="169"/>
      <c r="D37" s="169"/>
      <c r="E37" s="169"/>
      <c r="F37" s="169"/>
      <c r="G37" s="169">
        <v>1.6</v>
      </c>
      <c r="H37" s="169"/>
      <c r="I37" s="169"/>
      <c r="J37" s="169"/>
      <c r="K37" s="169"/>
      <c r="L37" s="169"/>
      <c r="M37" s="169"/>
      <c r="N37" s="169"/>
      <c r="O37" s="169"/>
    </row>
    <row r="38" spans="1:15">
      <c r="A38" s="111">
        <v>1762</v>
      </c>
      <c r="B38" s="169">
        <v>1.0266666666666666</v>
      </c>
      <c r="C38" s="169">
        <v>0.01</v>
      </c>
      <c r="D38" s="169">
        <v>0.05</v>
      </c>
      <c r="E38" s="169">
        <v>0.4</v>
      </c>
      <c r="F38" s="169">
        <f>2.110043*B38+12.19512*C38+12.19512*D38+E38*0.42735</f>
        <v>3.068958013333333</v>
      </c>
      <c r="G38" s="174">
        <f>(G37+G39)/2</f>
        <v>1.82</v>
      </c>
      <c r="H38" s="169">
        <v>0.03</v>
      </c>
      <c r="I38" s="169">
        <v>2.2000000000000002</v>
      </c>
      <c r="J38" s="169">
        <f>G38*0.15873+H38*7.042254+I38*0.079365</f>
        <v>0.6747592200000001</v>
      </c>
      <c r="K38" s="169">
        <v>1</v>
      </c>
      <c r="L38" s="169">
        <f>K38*0.257732</f>
        <v>0.25773200000000002</v>
      </c>
      <c r="M38" s="169">
        <f>(F38+J38+L38)*0.05</f>
        <v>0.20007246166666667</v>
      </c>
      <c r="N38" s="169">
        <f>F38+J38+L38+M38</f>
        <v>4.2015216949999994</v>
      </c>
      <c r="O38" s="169">
        <v>0.87139559954299983</v>
      </c>
    </row>
    <row r="39" spans="1:15">
      <c r="A39" s="111">
        <v>1763</v>
      </c>
      <c r="B39" s="169">
        <v>1.0449999999999999</v>
      </c>
      <c r="C39" s="169">
        <v>1.2500000000000001E-2</v>
      </c>
      <c r="D39" s="169">
        <v>5.1250000000000004E-2</v>
      </c>
      <c r="E39" s="169">
        <v>0.4</v>
      </c>
      <c r="F39" s="169">
        <f>2.110043*B39+12.19512*C39+12.19512*D39+E39*0.42735</f>
        <v>3.1533738349999996</v>
      </c>
      <c r="G39" s="169">
        <v>2.04</v>
      </c>
      <c r="H39" s="169">
        <v>0.02</v>
      </c>
      <c r="I39" s="169">
        <v>2.8000000000000003</v>
      </c>
      <c r="J39" s="169">
        <f>G39*0.15873+H39*7.042254+I39*0.079365</f>
        <v>0.68687628000000012</v>
      </c>
      <c r="K39" s="169">
        <v>1.08</v>
      </c>
      <c r="L39" s="169">
        <f>K39*0.257732</f>
        <v>0.27835056000000002</v>
      </c>
      <c r="M39" s="169">
        <f>(F39+J39+L39)*0.05</f>
        <v>0.20593003374999999</v>
      </c>
      <c r="N39" s="169">
        <f>F39+J39+L39+M39</f>
        <v>4.3245307087499993</v>
      </c>
      <c r="O39" s="169">
        <v>0.89690766899474983</v>
      </c>
    </row>
    <row r="40" spans="1:15">
      <c r="A40" s="111">
        <v>1764</v>
      </c>
      <c r="B40" s="169">
        <v>1.0266666666666666</v>
      </c>
      <c r="C40" s="169">
        <v>1.2500000000000001E-2</v>
      </c>
      <c r="D40" s="169">
        <v>0.05</v>
      </c>
      <c r="E40" s="169">
        <v>0.4</v>
      </c>
      <c r="F40" s="169">
        <f>2.110043*B40+12.19512*C40+12.19512*D40+E40*0.42735</f>
        <v>3.0994458133333334</v>
      </c>
      <c r="G40" s="169">
        <f>(1.76+1.6)/2</f>
        <v>1.6800000000000002</v>
      </c>
      <c r="H40" s="169">
        <v>0.03</v>
      </c>
      <c r="I40" s="169">
        <v>1.6</v>
      </c>
      <c r="J40" s="169">
        <f>G40*0.15873+H40*7.042254+I40*0.079365</f>
        <v>0.60491802000000006</v>
      </c>
      <c r="K40" s="169">
        <v>1.33</v>
      </c>
      <c r="L40" s="169">
        <f>K40*0.257732</f>
        <v>0.34278356000000004</v>
      </c>
      <c r="M40" s="169">
        <f>(F40+J40+L40)*0.05</f>
        <v>0.2023573696666667</v>
      </c>
      <c r="N40" s="169">
        <f>F40+J40+L40+M40</f>
        <v>4.249504763</v>
      </c>
      <c r="O40" s="169">
        <v>0.76491085733999997</v>
      </c>
    </row>
    <row r="41" spans="1:15">
      <c r="A41" s="111">
        <v>1765</v>
      </c>
      <c r="B41" s="169">
        <v>1.2233333333333334</v>
      </c>
      <c r="C41" s="169"/>
      <c r="D41" s="169"/>
      <c r="E41" s="169"/>
      <c r="F41" s="169"/>
      <c r="G41" s="169"/>
      <c r="H41" s="169">
        <v>4.4999999999999998E-2</v>
      </c>
      <c r="I41" s="169">
        <v>1.6</v>
      </c>
      <c r="J41" s="169">
        <f>G41*0.15873+H41*7.042254+I41*0.079365</f>
        <v>0.44388543000000003</v>
      </c>
      <c r="K41" s="169"/>
      <c r="L41" s="169"/>
      <c r="M41" s="169"/>
      <c r="N41" s="169"/>
      <c r="O41" s="169"/>
    </row>
    <row r="42" spans="1:15">
      <c r="A42" s="111">
        <v>1766</v>
      </c>
      <c r="B42" s="169">
        <v>2.2799999999999998</v>
      </c>
      <c r="C42" s="169"/>
      <c r="D42" s="169"/>
      <c r="E42" s="169"/>
      <c r="F42" s="169"/>
      <c r="G42" s="169"/>
      <c r="H42" s="169">
        <v>0.03</v>
      </c>
      <c r="I42" s="169"/>
      <c r="J42" s="169"/>
      <c r="K42" s="169"/>
      <c r="L42" s="169"/>
      <c r="M42" s="169"/>
      <c r="N42" s="169"/>
      <c r="O42" s="169"/>
    </row>
    <row r="43" spans="1:15">
      <c r="A43" s="111">
        <v>1767</v>
      </c>
      <c r="B43" s="169">
        <v>2.5939999999999999</v>
      </c>
      <c r="C43" s="169">
        <v>0.01</v>
      </c>
      <c r="D43" s="169">
        <v>0.06</v>
      </c>
      <c r="E43" s="169">
        <v>0.5</v>
      </c>
      <c r="F43" s="169">
        <f>2.110043*B43+12.19512*C43+12.19512*D43+E43*0.42735</f>
        <v>6.5407849420000002</v>
      </c>
      <c r="G43" s="169">
        <v>1.6</v>
      </c>
      <c r="H43" s="169">
        <v>0.05</v>
      </c>
      <c r="I43" s="169">
        <v>1.6</v>
      </c>
      <c r="J43" s="169">
        <f>G43*0.15873+H43*7.042254+I43*0.079365</f>
        <v>0.73306470000000001</v>
      </c>
      <c r="K43" s="169">
        <v>2</v>
      </c>
      <c r="L43" s="169">
        <f>K43*0.257732</f>
        <v>0.51546400000000003</v>
      </c>
      <c r="M43" s="169">
        <f>(F43+J43+L43)*0.05</f>
        <v>0.38946568209999999</v>
      </c>
      <c r="N43" s="169">
        <f>F43+J43+L43+M43</f>
        <v>8.1787793240999989</v>
      </c>
      <c r="O43" s="169">
        <v>1.4721802783379996</v>
      </c>
    </row>
    <row r="44" spans="1:15">
      <c r="A44" s="111">
        <v>1768</v>
      </c>
      <c r="B44" s="169">
        <v>2.2950000000000004</v>
      </c>
      <c r="C44" s="169"/>
      <c r="D44" s="169"/>
      <c r="E44" s="169"/>
      <c r="F44" s="169"/>
      <c r="G44" s="169"/>
      <c r="H44" s="169">
        <v>0.05</v>
      </c>
      <c r="I44" s="169"/>
      <c r="J44" s="169"/>
      <c r="K44" s="169"/>
      <c r="L44" s="169"/>
      <c r="M44" s="169"/>
      <c r="N44" s="169"/>
      <c r="O44" s="169"/>
    </row>
    <row r="45" spans="1:15">
      <c r="A45" s="111">
        <v>1769</v>
      </c>
      <c r="B45" s="169">
        <v>2.1</v>
      </c>
      <c r="C45" s="169"/>
      <c r="D45" s="169">
        <v>0.05</v>
      </c>
      <c r="E45" s="169">
        <v>0.39990234375</v>
      </c>
      <c r="F45" s="169"/>
      <c r="G45" s="169">
        <v>2.65</v>
      </c>
      <c r="H45" s="169">
        <v>6.3333333333333339E-2</v>
      </c>
      <c r="I45" s="169"/>
      <c r="J45" s="169"/>
      <c r="K45" s="169">
        <v>1.05</v>
      </c>
      <c r="L45" s="169"/>
      <c r="M45" s="169"/>
      <c r="N45" s="169"/>
      <c r="O45" s="169"/>
    </row>
    <row r="46" spans="1:15">
      <c r="A46" s="111">
        <v>1770</v>
      </c>
      <c r="B46" s="169">
        <v>1.54</v>
      </c>
      <c r="C46" s="169"/>
      <c r="D46" s="169">
        <v>0.05</v>
      </c>
      <c r="E46" s="169">
        <v>0.39990234375</v>
      </c>
      <c r="F46" s="169"/>
      <c r="G46" s="169">
        <v>2.4666666666666668</v>
      </c>
      <c r="H46" s="169"/>
      <c r="I46" s="169"/>
      <c r="J46" s="169"/>
      <c r="K46" s="169">
        <v>1.17</v>
      </c>
      <c r="L46" s="169"/>
      <c r="M46" s="169"/>
      <c r="N46" s="169"/>
      <c r="O46" s="169"/>
    </row>
    <row r="47" spans="1:15">
      <c r="A47" s="111">
        <v>1771</v>
      </c>
      <c r="B47" s="169">
        <v>1.3433333333333335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8" spans="1:15">
      <c r="A48" s="111">
        <v>1772</v>
      </c>
      <c r="B48" s="169">
        <v>1.7342857142857142</v>
      </c>
      <c r="C48" s="169"/>
      <c r="D48" s="169">
        <v>2.9000000000000001E-2</v>
      </c>
      <c r="E48" s="169">
        <v>0.39990234375</v>
      </c>
      <c r="F48" s="169"/>
      <c r="G48" s="169">
        <v>2.27</v>
      </c>
      <c r="H48" s="169"/>
      <c r="I48" s="169"/>
      <c r="J48" s="169"/>
      <c r="K48" s="169">
        <v>3.35</v>
      </c>
      <c r="L48" s="169">
        <f>K48*0.257732</f>
        <v>0.86340220000000012</v>
      </c>
      <c r="M48" s="169"/>
      <c r="N48" s="169"/>
      <c r="O48" s="169"/>
    </row>
    <row r="49" spans="1:15">
      <c r="A49" s="111">
        <v>1773</v>
      </c>
      <c r="B49" s="169">
        <v>1.7914285714285714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1:15">
      <c r="A50" s="111">
        <v>1774</v>
      </c>
      <c r="B50" s="169">
        <v>2.0300000000000002</v>
      </c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</row>
    <row r="51" spans="1:15">
      <c r="A51" s="111">
        <v>1775</v>
      </c>
      <c r="B51" s="169">
        <v>2.6475</v>
      </c>
      <c r="C51" s="169"/>
      <c r="D51" s="169">
        <v>5.5000000000000007E-2</v>
      </c>
      <c r="E51" s="169">
        <v>0.39990234375</v>
      </c>
      <c r="F51" s="169"/>
      <c r="G51" s="169">
        <v>2.5</v>
      </c>
      <c r="H51" s="169">
        <v>0.09</v>
      </c>
      <c r="I51" s="169"/>
      <c r="J51" s="169"/>
      <c r="K51" s="169">
        <v>2.4</v>
      </c>
      <c r="L51" s="169"/>
      <c r="M51" s="169"/>
      <c r="N51" s="169"/>
      <c r="O51" s="169"/>
    </row>
    <row r="52" spans="1:15">
      <c r="A52" s="111">
        <v>1776</v>
      </c>
      <c r="B52" s="169">
        <v>2.1825000000000001</v>
      </c>
      <c r="C52" s="169"/>
      <c r="D52" s="169"/>
      <c r="E52" s="169"/>
      <c r="F52" s="169"/>
      <c r="G52" s="169">
        <v>2</v>
      </c>
      <c r="H52" s="169"/>
      <c r="I52" s="169"/>
      <c r="J52" s="169"/>
      <c r="K52" s="169">
        <v>4.32</v>
      </c>
      <c r="L52" s="169"/>
      <c r="M52" s="169"/>
      <c r="N52" s="169"/>
      <c r="O52" s="169"/>
    </row>
    <row r="53" spans="1:15">
      <c r="A53" s="111">
        <v>1777</v>
      </c>
      <c r="B53" s="169">
        <v>1.66</v>
      </c>
      <c r="C53" s="169">
        <v>2.5000000000000001E-2</v>
      </c>
      <c r="D53" s="169">
        <v>0.06</v>
      </c>
      <c r="E53" s="169">
        <v>0.4</v>
      </c>
      <c r="F53" s="169">
        <f>2.110043*B53+12.19512*C53+12.19512*D53+E53*0.42735</f>
        <v>4.7101965799999999</v>
      </c>
      <c r="G53" s="169">
        <v>2</v>
      </c>
      <c r="H53" s="169">
        <v>4.4999999999999998E-2</v>
      </c>
      <c r="I53" s="169">
        <v>1.2</v>
      </c>
      <c r="J53" s="169">
        <f>G53*0.15873+H53*7.042254+I53*0.079365</f>
        <v>0.72959943000000005</v>
      </c>
      <c r="K53" s="169">
        <v>1.5</v>
      </c>
      <c r="L53" s="169">
        <f>K53*0.257732</f>
        <v>0.386598</v>
      </c>
      <c r="M53" s="169">
        <f>(F53+J53+L53)*0.05</f>
        <v>0.29131970050000006</v>
      </c>
      <c r="N53" s="169">
        <f>F53+J53+L53+M53</f>
        <v>6.1177137105000003</v>
      </c>
      <c r="O53" s="169">
        <v>1.0902856117722772</v>
      </c>
    </row>
    <row r="54" spans="1:15">
      <c r="A54" s="111">
        <v>1778</v>
      </c>
      <c r="B54" s="169">
        <v>1.4249999999999998</v>
      </c>
      <c r="C54" s="169"/>
      <c r="D54" s="169">
        <v>0.02</v>
      </c>
      <c r="E54" s="169">
        <v>0.39990234375</v>
      </c>
      <c r="F54" s="169"/>
      <c r="G54" s="169"/>
      <c r="H54" s="169"/>
      <c r="I54" s="169">
        <v>4</v>
      </c>
      <c r="J54" s="169"/>
      <c r="K54" s="169">
        <v>1.65</v>
      </c>
      <c r="L54" s="169"/>
      <c r="M54" s="169"/>
      <c r="N54" s="169"/>
      <c r="O54" s="169"/>
    </row>
    <row r="55" spans="1:15">
      <c r="A55" s="111">
        <v>1779</v>
      </c>
      <c r="B55" s="169">
        <v>1.855</v>
      </c>
      <c r="C55" s="169"/>
      <c r="D55" s="169"/>
      <c r="E55" s="169"/>
      <c r="F55" s="169"/>
      <c r="G55" s="169"/>
      <c r="H55" s="169">
        <v>0.06</v>
      </c>
      <c r="I55" s="169"/>
      <c r="J55" s="169"/>
      <c r="K55" s="169"/>
      <c r="L55" s="169"/>
      <c r="M55" s="169"/>
      <c r="N55" s="169"/>
      <c r="O55" s="169"/>
    </row>
    <row r="56" spans="1:15">
      <c r="A56" s="111">
        <v>1780</v>
      </c>
      <c r="B56" s="169">
        <v>1.98</v>
      </c>
      <c r="C56" s="169">
        <v>4.4999999999999998E-2</v>
      </c>
      <c r="D56" s="169"/>
      <c r="E56" s="169"/>
      <c r="F56" s="169"/>
      <c r="G56" s="169">
        <v>2.8</v>
      </c>
      <c r="H56" s="169">
        <v>0.05</v>
      </c>
      <c r="I56" s="169"/>
      <c r="J56" s="169"/>
      <c r="K56" s="169">
        <v>1.98</v>
      </c>
      <c r="L56" s="169"/>
      <c r="M56" s="169"/>
      <c r="N56" s="169"/>
      <c r="O56" s="169"/>
    </row>
    <row r="57" spans="1:15">
      <c r="A57" s="111">
        <v>1781</v>
      </c>
      <c r="B57" s="169">
        <v>1.5175000000000001</v>
      </c>
      <c r="C57" s="169"/>
      <c r="D57" s="169"/>
      <c r="E57" s="169"/>
      <c r="F57" s="169"/>
      <c r="G57" s="169"/>
      <c r="H57" s="169">
        <v>4.2499999999999996E-2</v>
      </c>
      <c r="I57" s="169"/>
      <c r="J57" s="169"/>
      <c r="K57" s="169"/>
      <c r="L57" s="169"/>
      <c r="M57" s="169"/>
      <c r="N57" s="169"/>
      <c r="O57" s="169"/>
    </row>
    <row r="58" spans="1:15">
      <c r="A58" s="111">
        <v>1782</v>
      </c>
      <c r="B58" s="169">
        <v>3.125</v>
      </c>
      <c r="C58" s="169">
        <v>5.8125000000000003E-2</v>
      </c>
      <c r="D58" s="169">
        <v>0.11899999999999999</v>
      </c>
      <c r="E58" s="169"/>
      <c r="F58" s="169"/>
      <c r="G58" s="169"/>
      <c r="H58" s="169"/>
      <c r="I58" s="169"/>
      <c r="J58" s="169"/>
      <c r="K58" s="169">
        <v>1.5</v>
      </c>
      <c r="L58" s="169"/>
      <c r="M58" s="169"/>
      <c r="N58" s="169"/>
      <c r="O58" s="169"/>
    </row>
    <row r="59" spans="1:15">
      <c r="A59" s="111">
        <v>1783</v>
      </c>
      <c r="B59" s="169">
        <v>3.125</v>
      </c>
      <c r="C59" s="169">
        <v>1.7500000000000002E-2</v>
      </c>
      <c r="D59" s="169">
        <v>0.11899999999999999</v>
      </c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</row>
    <row r="60" spans="1:15">
      <c r="A60" s="111">
        <v>1784</v>
      </c>
      <c r="B60" s="169">
        <v>3.125</v>
      </c>
      <c r="C60" s="169">
        <v>1.7500000000000002E-2</v>
      </c>
      <c r="D60" s="169">
        <v>0.11899999999999999</v>
      </c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</row>
    <row r="61" spans="1:15">
      <c r="A61" s="111">
        <v>1785</v>
      </c>
      <c r="B61" s="169">
        <v>2.84</v>
      </c>
      <c r="C61" s="169">
        <v>3.9821428571428563E-2</v>
      </c>
      <c r="D61" s="169">
        <v>0.11899999999999999</v>
      </c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15">
      <c r="A62" s="111">
        <v>1786</v>
      </c>
      <c r="B62" s="169">
        <v>3.105</v>
      </c>
      <c r="C62" s="169">
        <v>1.5663003663003664E-2</v>
      </c>
      <c r="D62" s="169">
        <v>7.2000000000000008E-2</v>
      </c>
      <c r="E62" s="169">
        <v>0.4</v>
      </c>
      <c r="F62" s="169">
        <f t="shared" ref="F62:F79" si="0">2.110043*B62+12.19512*C62+12.19512*D62+E62*0.42735</f>
        <v>7.79168436423077</v>
      </c>
      <c r="G62" s="169">
        <v>3.6850000000000001</v>
      </c>
      <c r="H62" s="169">
        <v>4.2599999999999999E-2</v>
      </c>
      <c r="I62" s="169">
        <v>1.6</v>
      </c>
      <c r="J62" s="169">
        <f>G62*0.15873+H62*7.042254+I62*0.079365</f>
        <v>1.0119040704</v>
      </c>
      <c r="K62" s="169">
        <v>1.2933333333333332</v>
      </c>
      <c r="L62" s="169">
        <f t="shared" ref="L62:L75" si="1">K62*0.257732</f>
        <v>0.33333338666666668</v>
      </c>
      <c r="M62" s="169">
        <f>(F62+J62+K62)*0.05</f>
        <v>0.50484608839820522</v>
      </c>
      <c r="N62" s="169">
        <f>F62+J62+K62+M62</f>
        <v>10.601767856362308</v>
      </c>
      <c r="O62" s="169">
        <v>1.8709002099462895</v>
      </c>
    </row>
    <row r="63" spans="1:15">
      <c r="A63" s="111">
        <v>1787</v>
      </c>
      <c r="B63" s="169">
        <v>5.1639999999999997</v>
      </c>
      <c r="C63" s="169">
        <v>1.41875E-2</v>
      </c>
      <c r="D63" s="169">
        <v>8.666666666666667E-2</v>
      </c>
      <c r="E63" s="169">
        <v>0.39990234375</v>
      </c>
      <c r="F63" s="169">
        <f t="shared" si="0"/>
        <v>12.297088983601562</v>
      </c>
      <c r="G63" s="169">
        <v>4</v>
      </c>
      <c r="H63" s="173">
        <f>(H62+H64)/2</f>
        <v>3.3799999999999997E-2</v>
      </c>
      <c r="I63" s="173">
        <f>I62</f>
        <v>1.6</v>
      </c>
      <c r="J63" s="169">
        <f>G63*0.15873+H63*7.042254+I63*0.079365</f>
        <v>0.99993218520000005</v>
      </c>
      <c r="K63" s="169">
        <v>4.108888888888889</v>
      </c>
      <c r="L63" s="169">
        <f t="shared" si="1"/>
        <v>1.0589921511111111</v>
      </c>
      <c r="M63" s="169">
        <f>(F63+J63+K63)*0.05</f>
        <v>0.87029550288452262</v>
      </c>
      <c r="N63" s="169">
        <f>F63+J63+K63+M63</f>
        <v>18.276205560574976</v>
      </c>
      <c r="O63" s="169">
        <v>3.1939000008771803</v>
      </c>
    </row>
    <row r="64" spans="1:15">
      <c r="A64" s="111">
        <v>1788</v>
      </c>
      <c r="B64" s="169">
        <v>3.5</v>
      </c>
      <c r="C64" s="169">
        <v>2.375E-2</v>
      </c>
      <c r="D64" s="169">
        <v>8.4499999999999992E-2</v>
      </c>
      <c r="E64" s="169">
        <v>0.39990234375</v>
      </c>
      <c r="F64" s="169">
        <f t="shared" si="0"/>
        <v>8.8761705066015626</v>
      </c>
      <c r="G64" s="173">
        <f>(G63+G65)/2</f>
        <v>4.375</v>
      </c>
      <c r="H64" s="169">
        <v>2.5000000000000001E-2</v>
      </c>
      <c r="I64" s="173">
        <f>I63</f>
        <v>1.6</v>
      </c>
      <c r="J64" s="169">
        <f>G64*0.15873+H64*7.042254+I64*0.079365</f>
        <v>0.99748409999999998</v>
      </c>
      <c r="K64" s="169">
        <v>2.1</v>
      </c>
      <c r="L64" s="169">
        <f t="shared" si="1"/>
        <v>0.54123720000000008</v>
      </c>
      <c r="M64" s="169">
        <f>(F64+J64+K64)*0.05</f>
        <v>0.59868273033007813</v>
      </c>
      <c r="N64" s="169">
        <f>F64+J64+K64+M64</f>
        <v>12.572337336931639</v>
      </c>
      <c r="O64" s="169">
        <v>2.0953895561552729</v>
      </c>
    </row>
    <row r="65" spans="1:15">
      <c r="A65" s="111">
        <v>1789</v>
      </c>
      <c r="B65" s="169">
        <v>3.5</v>
      </c>
      <c r="C65" s="169">
        <v>2.6249999999999999E-2</v>
      </c>
      <c r="D65" s="169">
        <v>8.7499999999999994E-2</v>
      </c>
      <c r="E65" s="169">
        <v>0.39990234375</v>
      </c>
      <c r="F65" s="169">
        <f t="shared" si="0"/>
        <v>8.943243666601564</v>
      </c>
      <c r="G65" s="169">
        <v>4.75</v>
      </c>
      <c r="H65" s="169">
        <v>0.08</v>
      </c>
      <c r="I65" s="173">
        <f>I64</f>
        <v>1.6</v>
      </c>
      <c r="J65" s="169"/>
      <c r="K65" s="169">
        <v>1.5333333333333332</v>
      </c>
      <c r="L65" s="169">
        <f t="shared" si="1"/>
        <v>0.39518906666666664</v>
      </c>
      <c r="M65" s="169">
        <f>(F65+J65+K65)*0.05</f>
        <v>0.52382884999674484</v>
      </c>
      <c r="N65" s="169">
        <f>F65+J65+K65+M65</f>
        <v>11.000405849931642</v>
      </c>
      <c r="O65" s="169">
        <v>1.8165807825575189</v>
      </c>
    </row>
    <row r="66" spans="1:15">
      <c r="A66" s="111">
        <v>1790</v>
      </c>
      <c r="B66" s="169">
        <v>3.25</v>
      </c>
      <c r="C66" s="169">
        <v>4.8125000000000001E-2</v>
      </c>
      <c r="D66" s="169">
        <v>0.10793749999999999</v>
      </c>
      <c r="E66" s="169">
        <v>0.39990234375</v>
      </c>
      <c r="F66" s="169">
        <f t="shared" si="0"/>
        <v>8.9317389316015632</v>
      </c>
      <c r="G66" s="169">
        <v>4.7</v>
      </c>
      <c r="H66" s="169"/>
      <c r="I66" s="169"/>
      <c r="J66" s="169"/>
      <c r="K66" s="169">
        <v>1</v>
      </c>
      <c r="L66" s="169">
        <f t="shared" si="1"/>
        <v>0.25773200000000002</v>
      </c>
      <c r="M66" s="169"/>
      <c r="N66" s="169"/>
      <c r="O66" s="169"/>
    </row>
    <row r="67" spans="1:15">
      <c r="A67" s="111">
        <v>1791</v>
      </c>
      <c r="B67" s="169">
        <v>2.6599999999999997</v>
      </c>
      <c r="C67" s="169">
        <v>4.8125000000000001E-2</v>
      </c>
      <c r="D67" s="169">
        <v>0.11437499999999999</v>
      </c>
      <c r="E67" s="169">
        <v>0.39990234375</v>
      </c>
      <c r="F67" s="169">
        <f t="shared" si="0"/>
        <v>7.7653196466015624</v>
      </c>
      <c r="G67" s="169">
        <v>4.8499999999999996</v>
      </c>
      <c r="H67" s="169"/>
      <c r="I67" s="169"/>
      <c r="J67" s="169"/>
      <c r="K67" s="169">
        <v>1.1000000000000001</v>
      </c>
      <c r="L67" s="169">
        <f t="shared" si="1"/>
        <v>0.28350520000000007</v>
      </c>
      <c r="M67" s="169"/>
      <c r="N67" s="169"/>
      <c r="O67" s="169"/>
    </row>
    <row r="68" spans="1:15">
      <c r="A68" s="111">
        <v>1792</v>
      </c>
      <c r="B68" s="169">
        <v>3.3</v>
      </c>
      <c r="C68" s="169">
        <v>4.8125000000000001E-2</v>
      </c>
      <c r="D68" s="169">
        <v>0.11750000000000001</v>
      </c>
      <c r="E68" s="169">
        <v>0.39990234375</v>
      </c>
      <c r="F68" s="169">
        <f t="shared" si="0"/>
        <v>9.1538569166015638</v>
      </c>
      <c r="G68" s="169">
        <v>5.3</v>
      </c>
      <c r="H68" s="169">
        <v>0.06</v>
      </c>
      <c r="I68" s="173">
        <v>3.64</v>
      </c>
      <c r="J68" s="169"/>
      <c r="K68" s="169">
        <v>1</v>
      </c>
      <c r="L68" s="169">
        <f t="shared" si="1"/>
        <v>0.25773200000000002</v>
      </c>
      <c r="M68" s="169">
        <f t="shared" ref="M68:M78" si="2">(F68+J68+L68)*0.05</f>
        <v>0.47057944583007827</v>
      </c>
      <c r="N68" s="169">
        <f t="shared" ref="N68:N78" si="3">F68+J68+L68+M68</f>
        <v>9.8821683624316421</v>
      </c>
      <c r="O68" s="169">
        <v>1.4117383374902346</v>
      </c>
    </row>
    <row r="69" spans="1:15">
      <c r="A69" s="111">
        <v>1793</v>
      </c>
      <c r="B69" s="169">
        <v>4.2350000000000003</v>
      </c>
      <c r="C69" s="169">
        <v>5.7812500000000003E-2</v>
      </c>
      <c r="D69" s="169">
        <v>0.12962499999999999</v>
      </c>
      <c r="E69" s="169">
        <v>0.4</v>
      </c>
      <c r="F69" s="169">
        <f t="shared" si="0"/>
        <v>11.392794910000001</v>
      </c>
      <c r="G69" s="169">
        <v>5.0148148148148142</v>
      </c>
      <c r="H69" s="173">
        <v>0.05</v>
      </c>
      <c r="I69" s="169">
        <v>3.64</v>
      </c>
      <c r="J69" s="169">
        <f t="shared" ref="J69:J78" si="4">G69*0.15873+H69*7.042254+I69*0.079365</f>
        <v>1.4370028555555554</v>
      </c>
      <c r="K69" s="169">
        <v>3.4333333333333336</v>
      </c>
      <c r="L69" s="169">
        <f t="shared" si="1"/>
        <v>0.88487986666666674</v>
      </c>
      <c r="M69" s="169">
        <f t="shared" si="2"/>
        <v>0.68573388161111115</v>
      </c>
      <c r="N69" s="169">
        <f t="shared" si="3"/>
        <v>14.400411513833333</v>
      </c>
      <c r="O69" s="169">
        <v>1.920054868511111</v>
      </c>
    </row>
    <row r="70" spans="1:15">
      <c r="A70" s="111">
        <v>1794</v>
      </c>
      <c r="B70" s="169">
        <v>4</v>
      </c>
      <c r="C70" s="169">
        <v>4.2163461538461539E-2</v>
      </c>
      <c r="D70" s="169">
        <v>0.14879999999999999</v>
      </c>
      <c r="E70" s="169">
        <v>0.4</v>
      </c>
      <c r="F70" s="169">
        <f t="shared" si="0"/>
        <v>10.939934329076923</v>
      </c>
      <c r="G70" s="169">
        <v>4.46875</v>
      </c>
      <c r="H70" s="169">
        <v>0.04</v>
      </c>
      <c r="I70" s="169">
        <v>3.6419999999999999</v>
      </c>
      <c r="J70" s="169">
        <f t="shared" si="4"/>
        <v>1.2800621775000001</v>
      </c>
      <c r="K70" s="169">
        <v>1.2</v>
      </c>
      <c r="L70" s="169">
        <f t="shared" si="1"/>
        <v>0.30927840000000001</v>
      </c>
      <c r="M70" s="169">
        <f t="shared" si="2"/>
        <v>0.62646374532884619</v>
      </c>
      <c r="N70" s="169">
        <f t="shared" si="3"/>
        <v>13.15573865190577</v>
      </c>
      <c r="O70" s="169">
        <v>1.6794559981156303</v>
      </c>
    </row>
    <row r="71" spans="1:15">
      <c r="A71" s="111">
        <v>1795</v>
      </c>
      <c r="B71" s="169">
        <v>4.3600000000000003</v>
      </c>
      <c r="C71" s="169">
        <v>4.2098214285714287E-2</v>
      </c>
      <c r="D71" s="169">
        <v>0.16285714285714287</v>
      </c>
      <c r="E71" s="169">
        <v>0.4</v>
      </c>
      <c r="F71" s="169">
        <f t="shared" si="0"/>
        <v>11.870182655000001</v>
      </c>
      <c r="G71" s="169">
        <v>9.6699999999999982</v>
      </c>
      <c r="H71" s="169">
        <v>0.04</v>
      </c>
      <c r="I71" s="169">
        <v>4.3</v>
      </c>
      <c r="J71" s="169">
        <f t="shared" si="4"/>
        <v>2.15787876</v>
      </c>
      <c r="K71" s="169">
        <v>4.3999999999999995</v>
      </c>
      <c r="L71" s="169">
        <f t="shared" si="1"/>
        <v>1.1340207999999998</v>
      </c>
      <c r="M71" s="169">
        <f t="shared" si="2"/>
        <v>0.75810411075000006</v>
      </c>
      <c r="N71" s="169">
        <f t="shared" si="3"/>
        <v>15.92018632575</v>
      </c>
      <c r="O71" s="169">
        <v>1.9627626976952053</v>
      </c>
    </row>
    <row r="72" spans="1:15">
      <c r="A72" s="111">
        <v>1796</v>
      </c>
      <c r="B72" s="169">
        <v>5.5228571428571422</v>
      </c>
      <c r="C72" s="169">
        <v>4.4492187499999995E-2</v>
      </c>
      <c r="D72" s="169">
        <v>0.16921875</v>
      </c>
      <c r="E72" s="169">
        <v>0.4</v>
      </c>
      <c r="F72" s="169">
        <f t="shared" si="0"/>
        <v>14.430636582410713</v>
      </c>
      <c r="G72" s="169">
        <v>5.6583333333333341</v>
      </c>
      <c r="H72" s="169">
        <v>7.4999999999999997E-2</v>
      </c>
      <c r="I72" s="169">
        <v>4.84375</v>
      </c>
      <c r="J72" s="169">
        <f t="shared" si="4"/>
        <v>1.8107405187500001</v>
      </c>
      <c r="K72" s="169">
        <v>2.2666666666666666</v>
      </c>
      <c r="L72" s="169">
        <f t="shared" si="1"/>
        <v>0.58419253333333332</v>
      </c>
      <c r="M72" s="169">
        <f t="shared" si="2"/>
        <v>0.84127848172470232</v>
      </c>
      <c r="N72" s="169">
        <f t="shared" si="3"/>
        <v>17.666848116218748</v>
      </c>
      <c r="O72" s="169">
        <v>2.2394596203657566</v>
      </c>
    </row>
    <row r="73" spans="1:15">
      <c r="A73" s="111">
        <v>1797</v>
      </c>
      <c r="B73" s="169">
        <v>4.71</v>
      </c>
      <c r="C73" s="169">
        <v>4.2291666666666665E-2</v>
      </c>
      <c r="D73" s="169">
        <v>0.13950000000000001</v>
      </c>
      <c r="E73" s="169">
        <v>0.4</v>
      </c>
      <c r="F73" s="169">
        <f t="shared" si="0"/>
        <v>12.32621372</v>
      </c>
      <c r="G73" s="169">
        <v>4.8</v>
      </c>
      <c r="H73" s="169">
        <v>0.1</v>
      </c>
      <c r="I73" s="173">
        <f>(I72+I75)/2</f>
        <v>4.8718749999999993</v>
      </c>
      <c r="J73" s="169">
        <f t="shared" si="4"/>
        <v>1.8527857593750001</v>
      </c>
      <c r="K73" s="169">
        <v>1.2</v>
      </c>
      <c r="L73" s="169">
        <f t="shared" si="1"/>
        <v>0.30927840000000001</v>
      </c>
      <c r="M73" s="169">
        <f t="shared" si="2"/>
        <v>0.72441389396875011</v>
      </c>
      <c r="N73" s="169">
        <f t="shared" si="3"/>
        <v>15.212691773343751</v>
      </c>
      <c r="O73" s="169">
        <v>2.1732416819062501</v>
      </c>
    </row>
    <row r="74" spans="1:15">
      <c r="A74" s="111">
        <v>1798</v>
      </c>
      <c r="B74" s="169">
        <v>4.0457142857142872</v>
      </c>
      <c r="C74" s="169">
        <v>6.1874999999999999E-2</v>
      </c>
      <c r="D74" s="169">
        <v>0.141875</v>
      </c>
      <c r="E74" s="169">
        <v>0.4</v>
      </c>
      <c r="F74" s="169">
        <f t="shared" si="0"/>
        <v>11.192326808571432</v>
      </c>
      <c r="G74" s="169">
        <v>4.8</v>
      </c>
      <c r="H74" s="169">
        <v>7.4999999999999997E-2</v>
      </c>
      <c r="I74" s="173">
        <v>4.87</v>
      </c>
      <c r="J74" s="169">
        <f t="shared" si="4"/>
        <v>1.6765805999999999</v>
      </c>
      <c r="K74" s="169">
        <v>1.2</v>
      </c>
      <c r="L74" s="169">
        <f t="shared" si="1"/>
        <v>0.30927840000000001</v>
      </c>
      <c r="M74" s="169">
        <f t="shared" si="2"/>
        <v>0.6589092904285716</v>
      </c>
      <c r="N74" s="169">
        <f t="shared" si="3"/>
        <v>13.837095099000003</v>
      </c>
      <c r="O74" s="169">
        <v>1.8180124947591247</v>
      </c>
    </row>
    <row r="75" spans="1:15">
      <c r="A75" s="111">
        <v>1799</v>
      </c>
      <c r="B75" s="169">
        <v>3.99125</v>
      </c>
      <c r="C75" s="169">
        <v>4.9750000000000003E-2</v>
      </c>
      <c r="D75" s="169">
        <v>0.13750000000000001</v>
      </c>
      <c r="E75" s="169">
        <v>0.44</v>
      </c>
      <c r="F75" s="169">
        <f t="shared" si="0"/>
        <v>10.893279343750001</v>
      </c>
      <c r="G75" s="169">
        <v>6</v>
      </c>
      <c r="H75" s="173">
        <f>(0.08+0.09)/2</f>
        <v>8.4999999999999992E-2</v>
      </c>
      <c r="I75" s="169">
        <v>4.8999999999999995</v>
      </c>
      <c r="J75" s="169">
        <f t="shared" si="4"/>
        <v>1.93986009</v>
      </c>
      <c r="K75" s="169">
        <v>2.4333333333333336</v>
      </c>
      <c r="L75" s="169">
        <f t="shared" si="1"/>
        <v>0.62714786666666678</v>
      </c>
      <c r="M75" s="169">
        <f t="shared" si="2"/>
        <v>0.67301436502083334</v>
      </c>
      <c r="N75" s="169">
        <f t="shared" si="3"/>
        <v>14.1333016654375</v>
      </c>
      <c r="O75" s="169">
        <v>1.6847644369395696</v>
      </c>
    </row>
    <row r="76" spans="1:15">
      <c r="A76" s="111">
        <v>1800</v>
      </c>
      <c r="B76" s="169">
        <v>4.5419999999999998</v>
      </c>
      <c r="C76" s="169">
        <v>5.2750000000000005E-2</v>
      </c>
      <c r="D76" s="169">
        <v>0.18833333333333332</v>
      </c>
      <c r="E76" s="169">
        <v>0.4</v>
      </c>
      <c r="F76" s="169">
        <f t="shared" si="0"/>
        <v>12.694795486</v>
      </c>
      <c r="G76" s="169">
        <v>5.74</v>
      </c>
      <c r="H76" s="173">
        <f>(0.08+0.09)/2</f>
        <v>8.4999999999999992E-2</v>
      </c>
      <c r="I76" s="169">
        <v>5.0999999999999996</v>
      </c>
      <c r="J76" s="169">
        <f t="shared" si="4"/>
        <v>1.91446329</v>
      </c>
      <c r="K76" s="169">
        <v>6.086950904392765</v>
      </c>
      <c r="L76" s="169">
        <v>1.9240000000000002</v>
      </c>
      <c r="M76" s="169">
        <f t="shared" si="2"/>
        <v>0.82666293880000008</v>
      </c>
      <c r="N76" s="169">
        <f t="shared" si="3"/>
        <v>17.359921714799999</v>
      </c>
      <c r="O76" s="169">
        <v>2.0423437311529411</v>
      </c>
    </row>
    <row r="77" spans="1:15">
      <c r="A77" s="111">
        <v>1801</v>
      </c>
      <c r="B77" s="169">
        <v>5.1766666666666667</v>
      </c>
      <c r="C77" s="169">
        <v>0.04</v>
      </c>
      <c r="D77" s="169">
        <v>0.16999999999999998</v>
      </c>
      <c r="E77" s="169">
        <v>0.39990234375</v>
      </c>
      <c r="F77" s="169">
        <f t="shared" si="0"/>
        <v>13.654862729934896</v>
      </c>
      <c r="G77" s="169">
        <v>5.4600000000000009</v>
      </c>
      <c r="H77" s="173">
        <f>(0.08+0.09)/2</f>
        <v>8.4999999999999992E-2</v>
      </c>
      <c r="I77" s="169">
        <v>4.9980000000000002</v>
      </c>
      <c r="J77" s="169">
        <f t="shared" si="4"/>
        <v>1.8619236600000002</v>
      </c>
      <c r="K77" s="173">
        <f>(6.09+5.94)/2</f>
        <v>6.0150000000000006</v>
      </c>
      <c r="L77" s="169">
        <f>(L76+L78)/2</f>
        <v>1.727141875</v>
      </c>
      <c r="M77" s="169">
        <f t="shared" si="2"/>
        <v>0.8621964132467449</v>
      </c>
      <c r="N77" s="169">
        <f t="shared" si="3"/>
        <v>18.106124678181644</v>
      </c>
      <c r="O77" s="169">
        <v>2.1583459881276132</v>
      </c>
    </row>
    <row r="78" spans="1:15">
      <c r="A78" s="111">
        <v>1802</v>
      </c>
      <c r="B78" s="169">
        <v>4.2</v>
      </c>
      <c r="C78" s="169">
        <v>3.7499999999999999E-2</v>
      </c>
      <c r="D78" s="169">
        <v>0.13125000000000001</v>
      </c>
      <c r="E78" s="169">
        <v>0.40600000000000003</v>
      </c>
      <c r="F78" s="169">
        <f t="shared" si="0"/>
        <v>11.0936112</v>
      </c>
      <c r="G78" s="169">
        <v>6.0500000000000016</v>
      </c>
      <c r="H78" s="169">
        <v>0.09</v>
      </c>
      <c r="I78" s="169">
        <v>4.6166666666666663</v>
      </c>
      <c r="J78" s="169">
        <f t="shared" si="4"/>
        <v>1.9605211100000002</v>
      </c>
      <c r="K78" s="169">
        <v>5.9375</v>
      </c>
      <c r="L78" s="169">
        <f>K78*0.257732</f>
        <v>1.5302837500000002</v>
      </c>
      <c r="M78" s="169">
        <f t="shared" si="2"/>
        <v>0.72922080300000003</v>
      </c>
      <c r="N78" s="169">
        <f t="shared" si="3"/>
        <v>15.313636863000001</v>
      </c>
      <c r="O78" s="169">
        <v>1.9974308951739135</v>
      </c>
    </row>
    <row r="79" spans="1:15">
      <c r="A79" s="111">
        <v>1803</v>
      </c>
      <c r="B79" s="169">
        <v>5.95</v>
      </c>
      <c r="C79" s="169">
        <v>0.04</v>
      </c>
      <c r="D79" s="169">
        <v>0.16</v>
      </c>
      <c r="E79" s="169">
        <v>0.4</v>
      </c>
      <c r="F79" s="169">
        <f t="shared" si="0"/>
        <v>15.164719850000001</v>
      </c>
      <c r="G79" s="169">
        <v>6.64</v>
      </c>
      <c r="H79" s="169"/>
      <c r="I79" s="169"/>
      <c r="J79" s="169"/>
      <c r="K79" s="169">
        <v>1.2</v>
      </c>
      <c r="L79" s="169">
        <f>K79*0.257732</f>
        <v>0.30927840000000001</v>
      </c>
      <c r="M79" s="169"/>
      <c r="N79" s="169"/>
      <c r="O79" s="169"/>
    </row>
    <row r="80" spans="1:15">
      <c r="A80" s="111">
        <v>1804</v>
      </c>
      <c r="B80" s="169">
        <v>4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  <row r="81" spans="1:15">
      <c r="A81" s="111">
        <v>1805</v>
      </c>
      <c r="B81" s="169">
        <v>3.4949999999999997</v>
      </c>
      <c r="C81" s="169">
        <v>4.2000000000000003E-2</v>
      </c>
      <c r="D81" s="169">
        <v>0.13249999999999998</v>
      </c>
      <c r="E81" s="169">
        <v>0.4</v>
      </c>
      <c r="F81" s="169">
        <f t="shared" ref="F81:F86" si="5">2.110043*B81+12.19512*C81+12.19512*D81+E81*0.42735</f>
        <v>9.6735887249999983</v>
      </c>
      <c r="G81" s="169">
        <v>6.2</v>
      </c>
      <c r="H81" s="169">
        <v>0.1</v>
      </c>
      <c r="I81" s="169">
        <v>6.4</v>
      </c>
      <c r="J81" s="169">
        <f>G81*0.15873+H81*7.042254+I81*0.079365</f>
        <v>2.1962874000000001</v>
      </c>
      <c r="K81" s="169">
        <v>9.6222222222222236</v>
      </c>
      <c r="L81" s="169">
        <f t="shared" ref="L81:L91" si="6">K81*0.257732</f>
        <v>2.4799545777777783</v>
      </c>
      <c r="M81" s="169">
        <f>(F81+J81+L81)*0.05</f>
        <v>0.71749153513888886</v>
      </c>
      <c r="N81" s="169">
        <f>F81+J81+L81+M81</f>
        <v>15.067322237916665</v>
      </c>
      <c r="O81" s="169">
        <v>2.0862446175576919</v>
      </c>
    </row>
    <row r="82" spans="1:15">
      <c r="A82" s="110">
        <v>1806</v>
      </c>
      <c r="B82" s="173">
        <f>(B81+B84)/2</f>
        <v>4.7474999999999996</v>
      </c>
      <c r="C82" s="169">
        <v>2.3E-2</v>
      </c>
      <c r="D82" s="169">
        <v>0.22500000000000001</v>
      </c>
      <c r="E82" s="169">
        <v>0.4</v>
      </c>
      <c r="F82" s="169">
        <f t="shared" si="5"/>
        <v>13.212758902499999</v>
      </c>
      <c r="G82" s="173">
        <f>(G81+G83)/2</f>
        <v>6.1</v>
      </c>
      <c r="H82" s="169">
        <v>0.14000000000000001</v>
      </c>
      <c r="I82" s="173">
        <f>(I81+I83)/2</f>
        <v>5.0500000000000007</v>
      </c>
      <c r="J82" s="169">
        <f>G82*0.15873+H82*7.042254+I82*0.079365</f>
        <v>2.3549618100000003</v>
      </c>
      <c r="K82" s="169">
        <v>3.6749999999999998</v>
      </c>
      <c r="L82" s="169">
        <f t="shared" si="6"/>
        <v>0.94716509999999998</v>
      </c>
      <c r="M82" s="169">
        <f>(F82+J82+L82)*0.05</f>
        <v>0.8257442906250001</v>
      </c>
      <c r="N82" s="169">
        <f>F82+J82+L82+M82</f>
        <v>17.340630103125001</v>
      </c>
      <c r="O82" s="169">
        <v>2.3293383720615672</v>
      </c>
    </row>
    <row r="83" spans="1:15">
      <c r="A83" s="110">
        <v>1807</v>
      </c>
      <c r="B83" s="173">
        <f>(B82+B84)/2</f>
        <v>5.3737499999999994</v>
      </c>
      <c r="C83" s="173">
        <f>(C82+C84)/2</f>
        <v>3.9E-2</v>
      </c>
      <c r="D83" s="173">
        <f>(D82+D84)/2</f>
        <v>0.15625</v>
      </c>
      <c r="E83" s="173">
        <f>(E82+E84)/2</f>
        <v>0.4</v>
      </c>
      <c r="F83" s="169">
        <f t="shared" si="5"/>
        <v>13.890880751249998</v>
      </c>
      <c r="G83" s="169">
        <f>0.15*40</f>
        <v>6</v>
      </c>
      <c r="H83" s="169">
        <v>0.14000000000000001</v>
      </c>
      <c r="I83" s="173">
        <f>(I81+I85)/2</f>
        <v>3.7</v>
      </c>
      <c r="J83" s="169">
        <f>G83*0.15873+H83*7.042254+I83*0.079365</f>
        <v>2.2319460600000003</v>
      </c>
      <c r="K83" s="169"/>
      <c r="L83" s="173">
        <f>(L82+L84)/2</f>
        <v>1.1920105000000001</v>
      </c>
      <c r="M83" s="169">
        <f>(F83+J83+L83)*0.05</f>
        <v>0.86574186556249999</v>
      </c>
      <c r="N83" s="169">
        <f>F83+J83+L83+M83</f>
        <v>18.1805791768125</v>
      </c>
      <c r="O83" s="169">
        <v>2.1963115784068794</v>
      </c>
    </row>
    <row r="84" spans="1:15">
      <c r="A84" s="110">
        <v>1808</v>
      </c>
      <c r="B84" s="169">
        <v>6</v>
      </c>
      <c r="C84" s="169">
        <v>5.5E-2</v>
      </c>
      <c r="D84" s="169">
        <v>8.7499999999999994E-2</v>
      </c>
      <c r="E84" s="169">
        <v>0.4</v>
      </c>
      <c r="F84" s="169">
        <f t="shared" si="5"/>
        <v>14.569002600000001</v>
      </c>
      <c r="G84" s="169">
        <v>6.4</v>
      </c>
      <c r="H84" s="169"/>
      <c r="I84" s="169"/>
      <c r="J84" s="169"/>
      <c r="K84" s="169">
        <v>5.5750000000000002</v>
      </c>
      <c r="L84" s="169">
        <f t="shared" si="6"/>
        <v>1.4368559000000001</v>
      </c>
      <c r="M84" s="169"/>
      <c r="N84" s="169"/>
      <c r="O84" s="169"/>
    </row>
    <row r="85" spans="1:15">
      <c r="A85" s="110">
        <v>1809</v>
      </c>
      <c r="B85" s="169">
        <v>6.5</v>
      </c>
      <c r="C85" s="169">
        <v>0.06</v>
      </c>
      <c r="D85" s="169">
        <v>0.25</v>
      </c>
      <c r="E85" s="169">
        <v>0.4</v>
      </c>
      <c r="F85" s="169">
        <f t="shared" si="5"/>
        <v>17.666706700000002</v>
      </c>
      <c r="G85" s="169">
        <v>7.6</v>
      </c>
      <c r="H85" s="169">
        <v>0.25</v>
      </c>
      <c r="I85" s="169">
        <v>1</v>
      </c>
      <c r="J85" s="169">
        <f>G85*0.15873+H85*7.042254+I85*0.079365</f>
        <v>3.0462765000000003</v>
      </c>
      <c r="K85" s="169">
        <v>11.13</v>
      </c>
      <c r="L85" s="169">
        <f t="shared" si="6"/>
        <v>2.8685571600000004</v>
      </c>
      <c r="M85" s="169">
        <f>(F85+J85+L85)*0.05</f>
        <v>1.1790770180000003</v>
      </c>
      <c r="N85" s="169">
        <f>F85+J85+L85+M85</f>
        <v>24.760617378000006</v>
      </c>
      <c r="O85" s="169">
        <v>1.998614855623319</v>
      </c>
    </row>
    <row r="86" spans="1:15">
      <c r="A86" s="110">
        <v>1810</v>
      </c>
      <c r="B86" s="169">
        <f>6.5/100*20+6.5</f>
        <v>7.8</v>
      </c>
      <c r="C86" s="169">
        <v>7.0000000000000007E-2</v>
      </c>
      <c r="D86" s="169">
        <f>(0.29+0.42)/2</f>
        <v>0.35499999999999998</v>
      </c>
      <c r="E86" s="169">
        <v>0.4</v>
      </c>
      <c r="F86" s="169">
        <f t="shared" si="5"/>
        <v>21.812201399999999</v>
      </c>
      <c r="G86" s="169">
        <v>12</v>
      </c>
      <c r="H86" s="169">
        <v>0.185</v>
      </c>
      <c r="I86" s="169">
        <v>9</v>
      </c>
      <c r="J86" s="169">
        <f>G86*0.15873+H86*7.042254+I86*0.079365</f>
        <v>3.92186199</v>
      </c>
      <c r="K86" s="169">
        <v>11</v>
      </c>
      <c r="L86" s="169">
        <f t="shared" si="6"/>
        <v>2.8350520000000001</v>
      </c>
      <c r="M86" s="169">
        <f>(F86+J86+L86)*0.05</f>
        <v>1.4284557695000002</v>
      </c>
      <c r="N86" s="169">
        <f>F86+J86+L86+M86</f>
        <v>29.997571159500001</v>
      </c>
      <c r="O86" s="169">
        <v>1.7818557268743</v>
      </c>
    </row>
    <row r="87" spans="1:15">
      <c r="A87" s="110">
        <v>1811</v>
      </c>
      <c r="B87" s="169">
        <f>7.8/100*15+7.5</f>
        <v>8.67</v>
      </c>
      <c r="C87" s="169"/>
      <c r="D87" s="169"/>
      <c r="E87" s="169">
        <v>0.4</v>
      </c>
      <c r="F87" s="169"/>
      <c r="G87" s="169"/>
      <c r="H87" s="169"/>
      <c r="I87" s="169">
        <v>4.8</v>
      </c>
      <c r="J87" s="169"/>
      <c r="K87" s="169">
        <v>12</v>
      </c>
      <c r="L87" s="169">
        <f t="shared" si="6"/>
        <v>3.092784</v>
      </c>
      <c r="M87" s="169"/>
      <c r="N87" s="169"/>
      <c r="O87" s="169"/>
    </row>
    <row r="88" spans="1:15">
      <c r="A88" s="110">
        <v>1812</v>
      </c>
      <c r="B88" s="169">
        <v>11.67</v>
      </c>
      <c r="C88" s="169">
        <v>9.7777777777777797E-2</v>
      </c>
      <c r="D88" s="169">
        <v>0.4366666666666667</v>
      </c>
      <c r="E88" s="169">
        <v>0.4</v>
      </c>
      <c r="F88" s="169">
        <f>2.110043*B88+12.19512*C88+12.19512*D88+E88*0.42735</f>
        <v>31.312755943333336</v>
      </c>
      <c r="G88" s="169">
        <f>(9+9.93)/2</f>
        <v>9.4649999999999999</v>
      </c>
      <c r="H88" s="169">
        <v>0.26</v>
      </c>
      <c r="I88" s="169"/>
      <c r="J88" s="169"/>
      <c r="K88" s="169">
        <v>11.32</v>
      </c>
      <c r="L88" s="169">
        <f t="shared" si="6"/>
        <v>2.9175262400000004</v>
      </c>
      <c r="M88" s="169"/>
      <c r="N88" s="169"/>
      <c r="O88" s="169"/>
    </row>
    <row r="89" spans="1:15">
      <c r="A89" s="110">
        <v>1813</v>
      </c>
      <c r="B89" s="169">
        <f>1.55*8</f>
        <v>12.4</v>
      </c>
      <c r="C89" s="169"/>
      <c r="D89" s="169">
        <v>0.43099999999999999</v>
      </c>
      <c r="E89" s="169"/>
      <c r="F89" s="169"/>
      <c r="G89" s="169">
        <v>11.56</v>
      </c>
      <c r="H89" s="169">
        <v>0.32</v>
      </c>
      <c r="I89" s="169"/>
      <c r="J89" s="169"/>
      <c r="K89" s="169">
        <v>16</v>
      </c>
      <c r="L89" s="169">
        <f t="shared" si="6"/>
        <v>4.1237120000000003</v>
      </c>
      <c r="M89" s="169"/>
      <c r="N89" s="169"/>
      <c r="O89" s="169"/>
    </row>
    <row r="90" spans="1:15">
      <c r="A90" s="110">
        <v>1814</v>
      </c>
      <c r="B90" s="169"/>
      <c r="C90" s="169"/>
      <c r="D90" s="169"/>
      <c r="E90" s="169"/>
      <c r="F90" s="169"/>
      <c r="G90" s="169">
        <v>19.39</v>
      </c>
      <c r="H90" s="169">
        <v>0.25600000000000001</v>
      </c>
      <c r="I90" s="169"/>
      <c r="J90" s="169"/>
      <c r="K90" s="169">
        <v>17.77</v>
      </c>
      <c r="L90" s="169">
        <f t="shared" si="6"/>
        <v>4.5798976400000004</v>
      </c>
      <c r="M90" s="169"/>
      <c r="N90" s="169"/>
      <c r="O90" s="169"/>
    </row>
    <row r="91" spans="1:15">
      <c r="A91" s="110">
        <v>1815</v>
      </c>
      <c r="B91" s="169">
        <f>1.15*8</f>
        <v>9.1999999999999993</v>
      </c>
      <c r="C91" s="169">
        <f>(0.1+0.09+0.07)/3</f>
        <v>8.666666666666667E-2</v>
      </c>
      <c r="D91" s="169">
        <v>0.45</v>
      </c>
      <c r="E91" s="169">
        <v>1.72</v>
      </c>
      <c r="F91" s="169">
        <f>2.110043*B91+12.19512*C91+12.19512*D91+E91*0.42735</f>
        <v>26.692152</v>
      </c>
      <c r="G91" s="169">
        <v>18.05</v>
      </c>
      <c r="H91" s="169">
        <v>0.32</v>
      </c>
      <c r="I91" s="169">
        <v>19.8</v>
      </c>
      <c r="J91" s="169">
        <f>G91*0.15873+H91*7.042254+I91*0.079365</f>
        <v>6.6900247799999999</v>
      </c>
      <c r="K91" s="169">
        <f>(19.83+13)/2</f>
        <v>16.414999999999999</v>
      </c>
      <c r="L91" s="169">
        <f t="shared" si="6"/>
        <v>4.2306707799999996</v>
      </c>
      <c r="M91" s="169">
        <f>(F91+J91+L91)*0.05</f>
        <v>1.8806423780000001</v>
      </c>
      <c r="N91" s="169">
        <f>F91+J91+L91+M91</f>
        <v>39.493489937999996</v>
      </c>
      <c r="O91" s="169">
        <v>1.4217656377679999</v>
      </c>
    </row>
    <row r="92" spans="1:15">
      <c r="A92" s="110">
        <v>1816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</row>
    <row r="93" spans="1:15">
      <c r="A93" s="110">
        <v>1817</v>
      </c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</row>
    <row r="94" spans="1:15">
      <c r="A94" s="110">
        <v>1818</v>
      </c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</row>
    <row r="95" spans="1:15">
      <c r="A95" s="110">
        <v>1819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</row>
    <row r="96" spans="1:15">
      <c r="A96" s="110">
        <v>1824</v>
      </c>
      <c r="B96" s="169">
        <v>10.290000000000001</v>
      </c>
      <c r="C96" s="169">
        <v>0.1032</v>
      </c>
      <c r="D96" s="169"/>
      <c r="E96" s="169"/>
      <c r="F96" s="169"/>
      <c r="G96" s="169">
        <v>12.16</v>
      </c>
      <c r="H96" s="169"/>
      <c r="I96" s="169">
        <v>10.24</v>
      </c>
      <c r="J96" s="169"/>
      <c r="K96" s="169">
        <v>20</v>
      </c>
      <c r="L96" s="169">
        <f t="shared" ref="L96" si="7">K96*0.257732</f>
        <v>5.1546400000000006</v>
      </c>
      <c r="M96" s="169"/>
      <c r="N96" s="169"/>
      <c r="O96" s="169"/>
    </row>
    <row r="97" spans="1:34">
      <c r="A97" s="110">
        <v>1825</v>
      </c>
      <c r="B97" s="169">
        <v>10.290000000000001</v>
      </c>
      <c r="C97" s="169">
        <v>0.1462</v>
      </c>
      <c r="D97" s="169">
        <v>0.35897435897435898</v>
      </c>
      <c r="E97" s="169"/>
      <c r="F97" s="169"/>
      <c r="G97" s="169">
        <v>10.24</v>
      </c>
      <c r="H97" s="169"/>
      <c r="I97" s="169">
        <v>10.24</v>
      </c>
      <c r="J97" s="169"/>
      <c r="K97" s="169"/>
      <c r="L97" s="169"/>
      <c r="M97" s="169"/>
      <c r="N97" s="169"/>
      <c r="O97" s="169"/>
    </row>
    <row r="98" spans="1:34">
      <c r="A98" s="110">
        <v>1826</v>
      </c>
      <c r="B98" s="169">
        <v>10.290000000000001</v>
      </c>
      <c r="C98" s="169">
        <v>0.1419</v>
      </c>
      <c r="D98" s="169">
        <v>0.34871794871794876</v>
      </c>
      <c r="E98" s="169"/>
      <c r="F98" s="169"/>
      <c r="G98" s="169">
        <v>10.56</v>
      </c>
      <c r="H98" s="169"/>
      <c r="I98" s="169">
        <v>9.76</v>
      </c>
      <c r="J98" s="169"/>
      <c r="K98" s="169"/>
      <c r="L98" s="169"/>
      <c r="M98" s="169"/>
      <c r="N98" s="169"/>
      <c r="O98" s="169"/>
    </row>
    <row r="99" spans="1:34">
      <c r="A99" s="110">
        <v>1827</v>
      </c>
      <c r="B99" s="169">
        <v>10.290000000000001</v>
      </c>
      <c r="C99" s="169">
        <v>0.1376</v>
      </c>
      <c r="D99" s="169">
        <v>0.33846153846153848</v>
      </c>
      <c r="E99" s="169"/>
      <c r="F99" s="169"/>
      <c r="G99" s="169">
        <v>10.72</v>
      </c>
      <c r="H99" s="169">
        <v>6.2763319444444443</v>
      </c>
      <c r="I99" s="169">
        <v>9.2799999999999994</v>
      </c>
      <c r="J99" s="169">
        <f>G99*0.15873+H99*7.042254+I99*0.079365</f>
        <v>46.637616541091667</v>
      </c>
      <c r="K99" s="169">
        <v>22</v>
      </c>
      <c r="L99" s="169">
        <f t="shared" ref="L99:L102" si="8">K99*0.257732</f>
        <v>5.6701040000000003</v>
      </c>
      <c r="M99" s="169"/>
      <c r="N99" s="169"/>
      <c r="O99" s="169"/>
    </row>
    <row r="100" spans="1:34" s="42" customFormat="1">
      <c r="A100" s="110">
        <v>1828</v>
      </c>
      <c r="B100" s="169">
        <v>7.3500000000000005</v>
      </c>
      <c r="C100" s="169">
        <v>8.6000000000000007E-2</v>
      </c>
      <c r="D100" s="169">
        <v>0.29230769230769232</v>
      </c>
      <c r="E100" s="173">
        <v>2.2999999999999998</v>
      </c>
      <c r="F100" s="169">
        <f t="shared" ref="F100:F104" si="9">2.110043*B100+12.19512*C100+12.19512*D100+E100*0.42735</f>
        <v>21.105228754615386</v>
      </c>
      <c r="G100" s="169">
        <v>11.2</v>
      </c>
      <c r="H100" s="173">
        <f>(H99+H101)/2</f>
        <v>6.9039652777777771</v>
      </c>
      <c r="I100" s="169">
        <v>9.2799999999999994</v>
      </c>
      <c r="J100" s="169">
        <f>G100*0.15873+H100*7.042254+I100*0.079365</f>
        <v>51.133760293291665</v>
      </c>
      <c r="K100" s="169">
        <v>18.5</v>
      </c>
      <c r="L100" s="169">
        <f t="shared" si="8"/>
        <v>4.7680420000000003</v>
      </c>
      <c r="M100" s="169">
        <f>(F100+J100+L100)*0.05</f>
        <v>3.8503515523953524</v>
      </c>
      <c r="N100" s="169">
        <f>F100+J100+L100+M100</f>
        <v>80.857382600302401</v>
      </c>
      <c r="O100" s="169">
        <v>3.9296687943746971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s="42" customFormat="1">
      <c r="A101" s="110">
        <v>1829</v>
      </c>
      <c r="B101" s="169">
        <v>8.82</v>
      </c>
      <c r="C101" s="169">
        <f>0.24*0.45</f>
        <v>0.108</v>
      </c>
      <c r="D101" s="169">
        <v>0.31128205128205128</v>
      </c>
      <c r="E101" s="169">
        <v>2.2999999999999998</v>
      </c>
      <c r="F101" s="169">
        <f t="shared" si="9"/>
        <v>24.706679189230769</v>
      </c>
      <c r="G101" s="169">
        <v>10.72</v>
      </c>
      <c r="H101" s="169">
        <v>7.5315986111111108</v>
      </c>
      <c r="I101" s="169">
        <v>9.2799999999999994</v>
      </c>
      <c r="J101" s="169">
        <f>G101*0.15873+H101*7.042254+I101*0.079365</f>
        <v>55.47752324549166</v>
      </c>
      <c r="K101" s="173">
        <f>(K100+K102)/2</f>
        <v>16.5</v>
      </c>
      <c r="L101" s="169">
        <f t="shared" si="8"/>
        <v>4.2525780000000006</v>
      </c>
      <c r="M101" s="169">
        <f>(F101+J101+L101)*0.05</f>
        <v>4.2218390217361224</v>
      </c>
      <c r="N101" s="169">
        <f>F101+J101+L101+M101</f>
        <v>88.658619456458553</v>
      </c>
      <c r="O101" s="169">
        <v>4.3088089055838861</v>
      </c>
      <c r="P101"/>
    </row>
    <row r="102" spans="1:34" s="120" customFormat="1">
      <c r="A102" s="119">
        <v>1829</v>
      </c>
      <c r="B102" s="175">
        <v>6.25</v>
      </c>
      <c r="C102" s="175">
        <v>0.08</v>
      </c>
      <c r="D102" s="175">
        <v>0.28999999999999998</v>
      </c>
      <c r="E102" s="175">
        <v>2</v>
      </c>
      <c r="F102" s="169">
        <f t="shared" si="9"/>
        <v>18.55466315</v>
      </c>
      <c r="G102" s="175">
        <v>10.75</v>
      </c>
      <c r="H102" s="169">
        <v>7.5315986111111108</v>
      </c>
      <c r="I102" s="169">
        <v>9.2799999999999994</v>
      </c>
      <c r="J102" s="169">
        <f>G102*0.15873+H102*7.042254+I102*0.079365</f>
        <v>55.482285145491659</v>
      </c>
      <c r="K102" s="175">
        <v>14.5</v>
      </c>
      <c r="L102" s="169">
        <f t="shared" si="8"/>
        <v>3.737114</v>
      </c>
      <c r="M102" s="169">
        <f>(F102+J102+L102)*0.05</f>
        <v>3.8887031147745832</v>
      </c>
      <c r="N102" s="169">
        <f>F102+J102+L102+M102</f>
        <v>81.662765410266246</v>
      </c>
      <c r="O102" s="169">
        <v>3.9688103989389401</v>
      </c>
      <c r="P102" s="126" t="s">
        <v>592</v>
      </c>
    </row>
    <row r="103" spans="1:34" s="42" customFormat="1">
      <c r="A103" s="110">
        <v>1830</v>
      </c>
      <c r="B103" s="169">
        <v>10.290000000000001</v>
      </c>
      <c r="C103" s="169">
        <v>9.8900000000000002E-2</v>
      </c>
      <c r="D103" s="169">
        <v>0.33025641025641028</v>
      </c>
      <c r="E103" s="169">
        <v>2.2999999999999998</v>
      </c>
      <c r="F103" s="169">
        <f t="shared" si="9"/>
        <v>27.928861391846159</v>
      </c>
      <c r="G103" s="169">
        <v>10.72</v>
      </c>
      <c r="H103" s="169"/>
      <c r="I103" s="169">
        <v>10.08</v>
      </c>
      <c r="J103" s="169"/>
      <c r="K103" s="169"/>
      <c r="L103" s="169"/>
      <c r="M103" s="169"/>
      <c r="N103" s="169"/>
      <c r="O103" s="169"/>
      <c r="P103"/>
    </row>
    <row r="104" spans="1:34" s="42" customFormat="1">
      <c r="A104" s="110">
        <v>1831</v>
      </c>
      <c r="B104" s="169">
        <v>13.229999999999999</v>
      </c>
      <c r="C104" s="169">
        <v>0.11610000000000001</v>
      </c>
      <c r="D104" s="169">
        <v>0.4102564102564103</v>
      </c>
      <c r="E104" s="169">
        <v>2.2999999999999998</v>
      </c>
      <c r="F104" s="169">
        <f t="shared" si="9"/>
        <v>35.317753475846153</v>
      </c>
      <c r="G104" s="169">
        <v>11.2</v>
      </c>
      <c r="H104" s="169"/>
      <c r="I104" s="169">
        <v>10.72</v>
      </c>
      <c r="J104" s="169"/>
      <c r="K104" s="169">
        <v>18</v>
      </c>
      <c r="L104" s="169">
        <f t="shared" ref="L104" si="10">K104*0.257732</f>
        <v>4.639176</v>
      </c>
      <c r="M104" s="169"/>
      <c r="N104" s="169"/>
      <c r="O104" s="169"/>
      <c r="P104"/>
    </row>
    <row r="105" spans="1:34" s="42" customFormat="1">
      <c r="A105" s="110">
        <v>1832</v>
      </c>
      <c r="B105" s="169">
        <v>17.64</v>
      </c>
      <c r="C105" s="169">
        <v>0.1333</v>
      </c>
      <c r="D105" s="169">
        <v>0.42307692307692307</v>
      </c>
      <c r="E105" s="169"/>
      <c r="F105" s="169"/>
      <c r="G105" s="169">
        <v>13.44</v>
      </c>
      <c r="H105" s="169"/>
      <c r="I105" s="169">
        <v>10.88</v>
      </c>
      <c r="J105" s="169"/>
      <c r="K105" s="169"/>
      <c r="L105" s="169"/>
      <c r="M105" s="169"/>
      <c r="N105" s="169"/>
      <c r="O105" s="169"/>
      <c r="P105"/>
    </row>
    <row r="106" spans="1:34" s="42" customFormat="1">
      <c r="A106" s="110">
        <v>1833</v>
      </c>
      <c r="B106" s="169">
        <v>23.52</v>
      </c>
      <c r="C106" s="169">
        <v>0.1462</v>
      </c>
      <c r="D106" s="169">
        <v>0.4358974358974359</v>
      </c>
      <c r="E106" s="169"/>
      <c r="F106" s="169"/>
      <c r="G106" s="169">
        <v>15.68</v>
      </c>
      <c r="H106" s="169">
        <v>7.5315986111111108</v>
      </c>
      <c r="I106" s="169">
        <v>10.88</v>
      </c>
      <c r="J106" s="169">
        <f>G106*0.15873+H106*7.042254+I106*0.079365</f>
        <v>56.391808045491658</v>
      </c>
      <c r="K106" s="169">
        <v>19</v>
      </c>
      <c r="L106" s="169">
        <f t="shared" ref="L106" si="11">K106*0.257732</f>
        <v>4.8969080000000007</v>
      </c>
      <c r="M106" s="169"/>
      <c r="N106" s="169"/>
      <c r="O106" s="169"/>
      <c r="P106"/>
    </row>
    <row r="107" spans="1:34" s="42" customFormat="1">
      <c r="A107" s="110">
        <v>1834</v>
      </c>
      <c r="B107" s="169">
        <v>20.580000000000002</v>
      </c>
      <c r="C107" s="169">
        <v>0.15049999999999999</v>
      </c>
      <c r="D107" s="169">
        <v>0.42735042735042733</v>
      </c>
      <c r="E107" s="169">
        <v>2.4</v>
      </c>
      <c r="F107" s="169">
        <f t="shared" ref="F107" si="12">2.110043*B107+12.19512*C107+12.19512*D107+E107*0.42735</f>
        <v>51.497280243589749</v>
      </c>
      <c r="G107" s="169">
        <v>13.12</v>
      </c>
      <c r="H107" s="169"/>
      <c r="I107" s="169">
        <v>10.56</v>
      </c>
      <c r="J107" s="169"/>
      <c r="K107" s="169"/>
      <c r="L107" s="169"/>
      <c r="M107" s="169"/>
      <c r="N107" s="169"/>
      <c r="O107" s="169"/>
      <c r="P107"/>
    </row>
    <row r="108" spans="1:34" s="42" customFormat="1">
      <c r="A108" s="110">
        <v>1835</v>
      </c>
      <c r="B108" s="169">
        <v>16.170000000000002</v>
      </c>
      <c r="C108" s="169">
        <v>0.15479999999999999</v>
      </c>
      <c r="D108" s="169">
        <v>0.41880341880341881</v>
      </c>
      <c r="E108" s="169"/>
      <c r="F108" s="169"/>
      <c r="G108" s="169">
        <v>10.72</v>
      </c>
      <c r="H108" s="169"/>
      <c r="I108" s="169">
        <v>10.08</v>
      </c>
      <c r="J108" s="169"/>
      <c r="K108" s="169"/>
      <c r="L108" s="169"/>
      <c r="M108" s="169"/>
      <c r="N108" s="169"/>
      <c r="O108" s="169"/>
      <c r="P108"/>
    </row>
    <row r="109" spans="1:34" s="42" customFormat="1">
      <c r="A109" s="110">
        <v>1836</v>
      </c>
      <c r="B109" s="169">
        <v>11.76</v>
      </c>
      <c r="C109" s="169">
        <v>0.15909999999999999</v>
      </c>
      <c r="D109" s="169">
        <v>0.4102564102564103</v>
      </c>
      <c r="E109" s="169">
        <v>2.4</v>
      </c>
      <c r="F109" s="169">
        <f t="shared" ref="F109:F111" si="13">2.110043*B109+12.19512*C109+12.19512*D109+E109*0.42735</f>
        <v>32.783115425846155</v>
      </c>
      <c r="G109" s="169">
        <v>12</v>
      </c>
      <c r="H109" s="169">
        <v>6.5901486111111121</v>
      </c>
      <c r="I109" s="169">
        <v>9.76</v>
      </c>
      <c r="J109" s="169">
        <f>G109*0.15873+H109*7.042254+I109*0.079365</f>
        <v>49.088862817191675</v>
      </c>
      <c r="K109" s="169">
        <v>19</v>
      </c>
      <c r="L109" s="169">
        <f t="shared" ref="L109" si="14">K109*0.257732</f>
        <v>4.8969080000000007</v>
      </c>
      <c r="M109" s="169">
        <f>(F109+J109+L109)*0.05</f>
        <v>4.3384443121518919</v>
      </c>
      <c r="N109" s="169">
        <f>F109+J109+L109+M109</f>
        <v>91.107330555189719</v>
      </c>
      <c r="O109" s="169">
        <v>4.4934135429819575</v>
      </c>
      <c r="P109"/>
    </row>
    <row r="110" spans="1:34" s="42" customFormat="1">
      <c r="A110" s="110">
        <v>1837</v>
      </c>
      <c r="B110" s="169">
        <v>11.76</v>
      </c>
      <c r="C110" s="169">
        <v>0.16770000000000002</v>
      </c>
      <c r="D110" s="169">
        <v>0.4358974358974359</v>
      </c>
      <c r="E110" s="169">
        <v>2.2999999999999998</v>
      </c>
      <c r="F110" s="169">
        <f t="shared" si="13"/>
        <v>33.157953842461538</v>
      </c>
      <c r="G110" s="169">
        <v>12</v>
      </c>
      <c r="H110" s="169"/>
      <c r="I110" s="169">
        <v>9.76</v>
      </c>
      <c r="J110" s="169"/>
      <c r="K110" s="169"/>
      <c r="L110" s="169"/>
      <c r="M110" s="169"/>
      <c r="N110" s="169"/>
      <c r="O110" s="169"/>
      <c r="P110"/>
    </row>
    <row r="111" spans="1:34" s="42" customFormat="1">
      <c r="A111" s="110">
        <v>1838</v>
      </c>
      <c r="B111" s="169">
        <v>10.290000000000001</v>
      </c>
      <c r="C111" s="169">
        <v>0.18059999999999998</v>
      </c>
      <c r="D111" s="169">
        <v>0.46153846153846156</v>
      </c>
      <c r="E111" s="169">
        <v>2.2000000000000002</v>
      </c>
      <c r="F111" s="169">
        <f t="shared" si="13"/>
        <v>30.483468065076924</v>
      </c>
      <c r="G111" s="169">
        <v>11.52</v>
      </c>
      <c r="H111" s="169"/>
      <c r="I111" s="169">
        <v>9.76</v>
      </c>
      <c r="J111" s="169"/>
      <c r="K111" s="169"/>
      <c r="L111" s="169"/>
      <c r="M111" s="169"/>
      <c r="N111" s="169"/>
      <c r="O111" s="169"/>
      <c r="P111"/>
    </row>
    <row r="112" spans="1:34" s="42" customFormat="1">
      <c r="A112" s="110">
        <v>1839</v>
      </c>
      <c r="B112" s="169">
        <v>10.290000000000001</v>
      </c>
      <c r="C112" s="169">
        <v>0.12040000000000001</v>
      </c>
      <c r="D112" s="169">
        <v>0.30769230769230771</v>
      </c>
      <c r="E112" s="169"/>
      <c r="F112" s="169"/>
      <c r="G112" s="169">
        <v>7.68</v>
      </c>
      <c r="H112" s="169"/>
      <c r="I112" s="169">
        <v>8.16</v>
      </c>
      <c r="J112" s="169"/>
      <c r="K112" s="169"/>
      <c r="L112" s="169"/>
      <c r="M112" s="169"/>
      <c r="N112" s="169"/>
      <c r="O112" s="169"/>
      <c r="P112"/>
    </row>
    <row r="113" spans="1:16" s="42" customFormat="1">
      <c r="A113" s="110">
        <v>1840</v>
      </c>
      <c r="B113" s="169">
        <v>8.82</v>
      </c>
      <c r="C113" s="169">
        <v>6.4500000000000002E-2</v>
      </c>
      <c r="D113" s="169">
        <v>0.15384615384615385</v>
      </c>
      <c r="E113" s="169"/>
      <c r="F113" s="169"/>
      <c r="G113" s="169">
        <v>4</v>
      </c>
      <c r="H113" s="169"/>
      <c r="I113" s="169">
        <v>6.56</v>
      </c>
      <c r="J113" s="169"/>
      <c r="K113" s="169"/>
      <c r="L113" s="169"/>
      <c r="M113" s="169"/>
      <c r="N113" s="169"/>
      <c r="O113" s="169"/>
      <c r="P113"/>
    </row>
    <row r="114" spans="1:16" s="42" customFormat="1">
      <c r="A114" s="110">
        <v>1841</v>
      </c>
      <c r="B114" s="169">
        <v>10.290000000000001</v>
      </c>
      <c r="C114" s="169">
        <v>6.4500000000000002E-2</v>
      </c>
      <c r="D114" s="169">
        <v>0.16410256410256413</v>
      </c>
      <c r="E114" s="169"/>
      <c r="F114" s="169"/>
      <c r="G114" s="169">
        <v>3.84</v>
      </c>
      <c r="H114" s="169"/>
      <c r="I114" s="169">
        <v>4.96</v>
      </c>
      <c r="J114" s="169"/>
      <c r="K114" s="169"/>
      <c r="L114" s="169"/>
      <c r="M114" s="169"/>
      <c r="N114" s="169"/>
      <c r="O114" s="169"/>
      <c r="P114"/>
    </row>
    <row r="115" spans="1:16" s="42" customFormat="1">
      <c r="A115" s="110">
        <v>1842</v>
      </c>
      <c r="B115" s="169">
        <v>5.88</v>
      </c>
      <c r="C115" s="169">
        <v>6.4500000000000002E-2</v>
      </c>
      <c r="D115" s="169">
        <v>0.15384615384615385</v>
      </c>
      <c r="E115" s="169"/>
      <c r="F115" s="169"/>
      <c r="G115" s="169">
        <v>3.84</v>
      </c>
      <c r="H115" s="169"/>
      <c r="I115" s="169">
        <v>3.36</v>
      </c>
      <c r="J115" s="169"/>
      <c r="K115" s="169"/>
      <c r="L115" s="169"/>
      <c r="M115" s="169"/>
      <c r="N115" s="169"/>
      <c r="O115" s="169"/>
      <c r="P115"/>
    </row>
    <row r="116" spans="1:16" s="42" customFormat="1">
      <c r="A116" s="110">
        <v>1843</v>
      </c>
      <c r="B116" s="169">
        <v>7.3500000000000005</v>
      </c>
      <c r="C116" s="169">
        <v>5.16E-2</v>
      </c>
      <c r="D116" s="169">
        <v>0.14358974358974361</v>
      </c>
      <c r="E116" s="169"/>
      <c r="F116" s="169"/>
      <c r="G116" s="169">
        <v>3.84</v>
      </c>
      <c r="H116" s="169"/>
      <c r="I116" s="169">
        <v>3.2</v>
      </c>
      <c r="J116" s="169"/>
      <c r="K116" s="169"/>
      <c r="L116" s="169"/>
      <c r="M116" s="169"/>
      <c r="N116" s="169"/>
      <c r="O116" s="169"/>
      <c r="P116"/>
    </row>
    <row r="117" spans="1:16" s="42" customFormat="1">
      <c r="A117" s="110">
        <v>1844</v>
      </c>
      <c r="B117" s="169">
        <v>8.82</v>
      </c>
      <c r="C117" s="169">
        <v>4.3000000000000003E-2</v>
      </c>
      <c r="D117" s="169">
        <v>0.15384615384615385</v>
      </c>
      <c r="E117" s="169"/>
      <c r="F117" s="169"/>
      <c r="G117" s="169">
        <v>3.84</v>
      </c>
      <c r="H117" s="169"/>
      <c r="I117" s="169">
        <v>3.04</v>
      </c>
      <c r="J117" s="169"/>
      <c r="K117" s="169"/>
      <c r="L117" s="169"/>
      <c r="M117" s="169"/>
      <c r="N117" s="169"/>
      <c r="O117" s="169"/>
      <c r="P117"/>
    </row>
    <row r="118" spans="1:16" s="42" customFormat="1">
      <c r="A118" s="110">
        <v>1845</v>
      </c>
      <c r="B118" s="169">
        <v>5.88</v>
      </c>
      <c r="C118" s="169">
        <v>3.8699999999999998E-2</v>
      </c>
      <c r="D118" s="169">
        <v>0.1483974358974359</v>
      </c>
      <c r="E118" s="169"/>
      <c r="F118" s="169"/>
      <c r="G118" s="169">
        <v>3.84</v>
      </c>
      <c r="H118" s="169"/>
      <c r="I118" s="169">
        <v>2.88</v>
      </c>
      <c r="J118" s="169"/>
      <c r="K118" s="169"/>
      <c r="L118" s="169"/>
      <c r="M118" s="169"/>
      <c r="N118" s="169"/>
      <c r="O118" s="169"/>
      <c r="P118"/>
    </row>
    <row r="119" spans="1:16" s="42" customFormat="1">
      <c r="A119" s="110">
        <v>1846</v>
      </c>
      <c r="B119" s="169">
        <v>2.94</v>
      </c>
      <c r="C119" s="169">
        <v>3.8699999999999998E-2</v>
      </c>
      <c r="D119" s="169">
        <v>0.14294871794871794</v>
      </c>
      <c r="E119" s="169">
        <v>0.72</v>
      </c>
      <c r="F119" s="169">
        <f t="shared" ref="F119" si="15">2.110043*B119+12.19512*C119+12.19512*D119+E119*0.42735</f>
        <v>8.7264463332307685</v>
      </c>
      <c r="G119" s="169">
        <v>3.84</v>
      </c>
      <c r="H119" s="169">
        <v>1.5690833333333334</v>
      </c>
      <c r="I119" s="169">
        <v>2.72</v>
      </c>
      <c r="J119" s="169">
        <f>G119*0.15873+H119*7.042254+I119*0.079365</f>
        <v>11.8752793805</v>
      </c>
      <c r="K119" s="169"/>
      <c r="L119" s="169"/>
      <c r="M119" s="169"/>
      <c r="N119" s="169"/>
      <c r="O119" s="169"/>
      <c r="P119"/>
    </row>
    <row r="120" spans="1:16" s="42" customFormat="1">
      <c r="A120" s="110">
        <v>1847</v>
      </c>
      <c r="B120" s="169">
        <v>4.41</v>
      </c>
      <c r="C120" s="169">
        <v>4.7300000000000002E-2</v>
      </c>
      <c r="D120" s="169">
        <v>0.13749999999999998</v>
      </c>
      <c r="E120" s="169"/>
      <c r="F120" s="169"/>
      <c r="G120" s="169">
        <v>3.84</v>
      </c>
      <c r="H120" s="169">
        <v>0</v>
      </c>
      <c r="I120" s="169">
        <v>2.72</v>
      </c>
      <c r="J120" s="169"/>
      <c r="K120" s="169"/>
      <c r="L120" s="169"/>
      <c r="M120" s="169"/>
      <c r="N120" s="169"/>
      <c r="O120" s="169"/>
      <c r="P120"/>
    </row>
    <row r="121" spans="1:16" s="42" customFormat="1">
      <c r="A121" s="110">
        <v>1848</v>
      </c>
      <c r="B121" s="169">
        <v>2.94</v>
      </c>
      <c r="C121" s="169">
        <v>5.16E-2</v>
      </c>
      <c r="D121" s="169">
        <v>0.13205128205128205</v>
      </c>
      <c r="E121" s="169"/>
      <c r="F121" s="169"/>
      <c r="G121" s="169">
        <v>3.68</v>
      </c>
      <c r="H121" s="169">
        <v>0</v>
      </c>
      <c r="I121" s="169">
        <v>2.72</v>
      </c>
      <c r="J121" s="169"/>
      <c r="K121" s="169"/>
      <c r="L121" s="169"/>
      <c r="M121" s="169"/>
      <c r="N121" s="169"/>
      <c r="O121" s="169"/>
      <c r="P121"/>
    </row>
    <row r="122" spans="1:16" s="42" customFormat="1">
      <c r="A122" s="110">
        <v>1849</v>
      </c>
      <c r="B122" s="169">
        <v>2.94</v>
      </c>
      <c r="C122" s="169">
        <v>5.16E-2</v>
      </c>
      <c r="D122" s="169">
        <v>0.11730769230769231</v>
      </c>
      <c r="E122" s="169"/>
      <c r="F122" s="169"/>
      <c r="G122" s="169">
        <v>3.68</v>
      </c>
      <c r="H122" s="169">
        <v>0</v>
      </c>
      <c r="I122" s="169">
        <v>2.88</v>
      </c>
      <c r="J122" s="169"/>
      <c r="K122" s="169"/>
      <c r="L122" s="169"/>
      <c r="M122" s="169"/>
      <c r="N122" s="169"/>
      <c r="O122" s="169"/>
      <c r="P122"/>
    </row>
    <row r="123" spans="1:16" s="42" customFormat="1">
      <c r="A123" s="110">
        <v>1850</v>
      </c>
      <c r="B123" s="169">
        <v>2.94</v>
      </c>
      <c r="C123" s="169">
        <v>4.7300000000000002E-2</v>
      </c>
      <c r="D123" s="169">
        <v>0.10256410256410257</v>
      </c>
      <c r="E123" s="169">
        <v>2.2000000000000002</v>
      </c>
      <c r="F123" s="169">
        <f t="shared" ref="F123" si="16">2.110043*B123+12.19512*C123+12.19512*D123+E123*0.42735</f>
        <v>8.9713071344615383</v>
      </c>
      <c r="G123" s="169">
        <v>3.52</v>
      </c>
      <c r="H123" s="169">
        <v>0</v>
      </c>
      <c r="I123" s="169">
        <v>2.88</v>
      </c>
      <c r="J123" s="169"/>
      <c r="K123" s="169"/>
      <c r="L123" s="169"/>
      <c r="M123" s="169"/>
      <c r="N123" s="169"/>
      <c r="O123" s="169"/>
      <c r="P123"/>
    </row>
    <row r="124" spans="1:16" s="42" customFormat="1">
      <c r="A124" s="110">
        <v>1851</v>
      </c>
      <c r="B124" s="169">
        <v>4.41</v>
      </c>
      <c r="C124" s="169">
        <v>4.7300000000000002E-2</v>
      </c>
      <c r="D124" s="169">
        <v>0.16410256410256413</v>
      </c>
      <c r="E124" s="169"/>
      <c r="F124" s="169"/>
      <c r="G124" s="169">
        <v>3.36</v>
      </c>
      <c r="H124" s="169">
        <v>1.8829</v>
      </c>
      <c r="I124" s="169">
        <v>2.88</v>
      </c>
      <c r="J124" s="169">
        <f>G124*0.15873+H124*7.042254+I124*0.079365</f>
        <v>14.021764056599999</v>
      </c>
      <c r="K124" s="169">
        <v>11.5</v>
      </c>
      <c r="L124" s="169">
        <f t="shared" ref="L124" si="17">K124*0.257732</f>
        <v>2.9639180000000001</v>
      </c>
      <c r="M124" s="169"/>
      <c r="N124" s="169"/>
      <c r="O124" s="169"/>
      <c r="P124"/>
    </row>
    <row r="125" spans="1:16" s="42" customFormat="1">
      <c r="A125" s="110">
        <v>1852</v>
      </c>
      <c r="B125" s="169">
        <v>4.41</v>
      </c>
      <c r="C125" s="169">
        <v>4.3000000000000003E-2</v>
      </c>
      <c r="D125" s="169">
        <v>0.15213675213675215</v>
      </c>
      <c r="E125" s="169">
        <v>0.7</v>
      </c>
      <c r="F125" s="169">
        <f t="shared" ref="F125:F148" si="18">2.110043*B125+12.19512*C125+12.19512*D125+E125*0.42735</f>
        <v>11.984150738717949</v>
      </c>
      <c r="G125" s="169">
        <v>3.36</v>
      </c>
      <c r="H125" s="169">
        <v>0</v>
      </c>
      <c r="I125" s="169">
        <v>2.88</v>
      </c>
      <c r="J125" s="169"/>
      <c r="K125" s="169"/>
      <c r="L125" s="169"/>
      <c r="M125" s="169"/>
      <c r="N125" s="169"/>
      <c r="O125" s="169"/>
      <c r="P125"/>
    </row>
    <row r="126" spans="1:16" s="42" customFormat="1">
      <c r="A126" s="110">
        <v>1853</v>
      </c>
      <c r="B126" s="169">
        <v>4.41</v>
      </c>
      <c r="C126" s="169">
        <v>5.16E-2</v>
      </c>
      <c r="D126" s="169">
        <v>0.14017094017094017</v>
      </c>
      <c r="E126" s="169">
        <v>0.7</v>
      </c>
      <c r="F126" s="169">
        <f t="shared" si="18"/>
        <v>11.943104257897435</v>
      </c>
      <c r="G126" s="169">
        <v>3.52</v>
      </c>
      <c r="H126" s="169">
        <v>0.3905763888888889</v>
      </c>
      <c r="I126" s="169">
        <v>2.72</v>
      </c>
      <c r="J126" s="169">
        <f>G126*0.15873+H126*7.042254+I126*0.079365</f>
        <v>3.5251405369583333</v>
      </c>
      <c r="K126" s="169"/>
      <c r="L126" s="169"/>
      <c r="M126" s="169"/>
      <c r="N126" s="169"/>
      <c r="O126" s="169"/>
      <c r="P126"/>
    </row>
    <row r="127" spans="1:16" s="42" customFormat="1">
      <c r="A127" s="110">
        <v>1854</v>
      </c>
      <c r="B127" s="169">
        <v>4.41</v>
      </c>
      <c r="C127" s="169">
        <v>5.16E-2</v>
      </c>
      <c r="D127" s="169">
        <v>0.12820512820512822</v>
      </c>
      <c r="E127" s="169">
        <v>0.4</v>
      </c>
      <c r="F127" s="169">
        <f t="shared" si="18"/>
        <v>11.668974745076923</v>
      </c>
      <c r="G127" s="169">
        <v>3.68</v>
      </c>
      <c r="H127" s="169">
        <v>0.41986944444444446</v>
      </c>
      <c r="I127" s="169">
        <v>2.56</v>
      </c>
      <c r="J127" s="169">
        <f t="shared" ref="J127:J148" si="19">G127*0.15873+H127*7.042254+I127*0.079365</f>
        <v>3.744128074616667</v>
      </c>
      <c r="K127" s="169">
        <v>8</v>
      </c>
      <c r="L127" s="169">
        <f t="shared" ref="L127:L128" si="20">K127*0.257732</f>
        <v>2.0618560000000001</v>
      </c>
      <c r="M127" s="169">
        <f>(F127+J127+L127)*0.05</f>
        <v>0.87374794098467956</v>
      </c>
      <c r="N127" s="169">
        <f>F127+J127+L127+M127</f>
        <v>18.348706760678269</v>
      </c>
      <c r="O127" s="169">
        <v>3.1376288560759837</v>
      </c>
      <c r="P127"/>
    </row>
    <row r="128" spans="1:16" s="42" customFormat="1">
      <c r="A128" s="110">
        <v>1855</v>
      </c>
      <c r="B128" s="169">
        <v>4.41</v>
      </c>
      <c r="C128" s="169">
        <v>3.8699999999999998E-2</v>
      </c>
      <c r="D128" s="169">
        <v>0.14102564102564102</v>
      </c>
      <c r="E128" s="169">
        <v>0.4</v>
      </c>
      <c r="F128" s="169">
        <f t="shared" si="18"/>
        <v>11.668005389384616</v>
      </c>
      <c r="G128" s="169">
        <v>3.36</v>
      </c>
      <c r="H128" s="169">
        <v>0.43939861111111111</v>
      </c>
      <c r="I128" s="169">
        <v>2.72</v>
      </c>
      <c r="J128" s="169">
        <f t="shared" si="19"/>
        <v>3.8435622266916667</v>
      </c>
      <c r="K128" s="169">
        <v>8</v>
      </c>
      <c r="L128" s="169">
        <f t="shared" si="20"/>
        <v>2.0618560000000001</v>
      </c>
      <c r="M128" s="169">
        <f>(F128+J128+L128)*0.05</f>
        <v>0.87867118080381423</v>
      </c>
      <c r="N128" s="169">
        <f>F128+J128+L128+M128</f>
        <v>18.452094796880097</v>
      </c>
      <c r="O128" s="169">
        <v>3.1553082102664969</v>
      </c>
      <c r="P128"/>
    </row>
    <row r="129" spans="1:16" s="42" customFormat="1">
      <c r="A129" s="110">
        <v>1856</v>
      </c>
      <c r="B129" s="169">
        <v>5.88</v>
      </c>
      <c r="C129" s="169">
        <v>4.3000000000000003E-2</v>
      </c>
      <c r="D129" s="169">
        <v>0.14871794871794872</v>
      </c>
      <c r="E129" s="169">
        <v>0.6</v>
      </c>
      <c r="F129" s="169">
        <f t="shared" si="18"/>
        <v>15.001486230769231</v>
      </c>
      <c r="G129" s="169">
        <v>4.16</v>
      </c>
      <c r="H129" s="169">
        <v>0.41986944444444446</v>
      </c>
      <c r="I129" s="169">
        <v>2.88</v>
      </c>
      <c r="J129" s="169">
        <f t="shared" si="19"/>
        <v>3.845715274616667</v>
      </c>
      <c r="K129" s="169"/>
      <c r="L129" s="169"/>
      <c r="M129" s="169"/>
      <c r="N129" s="169"/>
      <c r="O129" s="169"/>
      <c r="P129"/>
    </row>
    <row r="130" spans="1:16" s="42" customFormat="1">
      <c r="A130" s="110">
        <v>1857</v>
      </c>
      <c r="B130" s="169">
        <v>5.88</v>
      </c>
      <c r="C130" s="169">
        <v>5.16E-2</v>
      </c>
      <c r="D130" s="169">
        <v>0.15384615384615385</v>
      </c>
      <c r="E130" s="169">
        <v>0.6</v>
      </c>
      <c r="F130" s="169">
        <f t="shared" si="18"/>
        <v>15.168903339692308</v>
      </c>
      <c r="G130" s="169">
        <v>4.96</v>
      </c>
      <c r="H130" s="169">
        <v>0.41986944444444446</v>
      </c>
      <c r="I130" s="169">
        <v>3.68</v>
      </c>
      <c r="J130" s="169">
        <f t="shared" si="19"/>
        <v>4.0361912746166668</v>
      </c>
      <c r="K130" s="169"/>
      <c r="L130" s="169"/>
      <c r="M130" s="169"/>
      <c r="N130" s="169"/>
      <c r="O130" s="169"/>
      <c r="P130"/>
    </row>
    <row r="131" spans="1:16" s="42" customFormat="1">
      <c r="A131" s="110">
        <v>1858</v>
      </c>
      <c r="B131" s="169">
        <v>5.88</v>
      </c>
      <c r="C131" s="169">
        <v>6.4500000000000002E-2</v>
      </c>
      <c r="D131" s="169">
        <v>0.16666666666666669</v>
      </c>
      <c r="E131" s="169">
        <v>0.6</v>
      </c>
      <c r="F131" s="169">
        <f t="shared" si="18"/>
        <v>15.48256808</v>
      </c>
      <c r="G131" s="169">
        <v>4.96</v>
      </c>
      <c r="H131" s="169">
        <v>0.34175416666666669</v>
      </c>
      <c r="I131" s="169">
        <v>3.84</v>
      </c>
      <c r="J131" s="169">
        <f t="shared" si="19"/>
        <v>3.4987820472250002</v>
      </c>
      <c r="K131" s="169"/>
      <c r="L131" s="169"/>
      <c r="M131" s="169"/>
      <c r="N131" s="169"/>
      <c r="O131" s="169"/>
      <c r="P131"/>
    </row>
    <row r="132" spans="1:16" s="42" customFormat="1">
      <c r="A132" s="110">
        <v>1859</v>
      </c>
      <c r="B132" s="169">
        <v>5.88</v>
      </c>
      <c r="C132" s="169">
        <v>7.3099999999999998E-2</v>
      </c>
      <c r="D132" s="169">
        <v>0.17948717948717949</v>
      </c>
      <c r="E132" s="169">
        <v>0.75</v>
      </c>
      <c r="F132" s="169">
        <f t="shared" si="18"/>
        <v>15.807896304307691</v>
      </c>
      <c r="G132" s="169">
        <v>4.96</v>
      </c>
      <c r="H132" s="169">
        <v>0.34175416666666669</v>
      </c>
      <c r="I132" s="169">
        <v>3.68</v>
      </c>
      <c r="J132" s="169">
        <f t="shared" si="19"/>
        <v>3.4860836472250001</v>
      </c>
      <c r="K132" s="169">
        <v>8.5</v>
      </c>
      <c r="L132" s="169">
        <f t="shared" ref="L132" si="21">K132*0.257732</f>
        <v>2.1907220000000001</v>
      </c>
      <c r="M132" s="169">
        <f>(F132+J132+L132)*0.05</f>
        <v>1.0742350975766346</v>
      </c>
      <c r="N132" s="169">
        <f>F132+J132+L132+M132</f>
        <v>22.558937049109325</v>
      </c>
      <c r="O132" s="169">
        <v>3.8575782353976944</v>
      </c>
      <c r="P132"/>
    </row>
    <row r="133" spans="1:16" s="42" customFormat="1">
      <c r="A133" s="110">
        <v>1860</v>
      </c>
      <c r="B133" s="169">
        <v>7.3500000000000005</v>
      </c>
      <c r="C133" s="169">
        <v>7.7399999999999997E-2</v>
      </c>
      <c r="D133" s="169">
        <v>0.24615384615384617</v>
      </c>
      <c r="E133" s="169">
        <v>0.75</v>
      </c>
      <c r="F133" s="169">
        <f t="shared" si="18"/>
        <v>19.775106530307692</v>
      </c>
      <c r="G133" s="169">
        <v>5.44</v>
      </c>
      <c r="H133" s="169">
        <v>0.34175416666666669</v>
      </c>
      <c r="I133" s="169">
        <v>3.84</v>
      </c>
      <c r="J133" s="169">
        <f t="shared" si="19"/>
        <v>3.574972447225</v>
      </c>
      <c r="K133" s="169"/>
      <c r="L133" s="169"/>
      <c r="M133" s="169"/>
      <c r="N133" s="169"/>
      <c r="O133" s="169"/>
      <c r="P133"/>
    </row>
    <row r="134" spans="1:16" s="42" customFormat="1">
      <c r="A134" s="110">
        <v>1861</v>
      </c>
      <c r="B134" s="169">
        <v>5.88</v>
      </c>
      <c r="C134" s="169">
        <v>8.6000000000000007E-2</v>
      </c>
      <c r="D134" s="169">
        <v>0.22051282051282051</v>
      </c>
      <c r="E134" s="169">
        <v>0.75</v>
      </c>
      <c r="F134" s="169">
        <f t="shared" si="18"/>
        <v>16.465525967692308</v>
      </c>
      <c r="G134" s="169">
        <v>6.24</v>
      </c>
      <c r="H134" s="169">
        <v>0.34175416666666669</v>
      </c>
      <c r="I134" s="169">
        <v>3.84</v>
      </c>
      <c r="J134" s="169">
        <f t="shared" si="19"/>
        <v>3.7019564472250002</v>
      </c>
      <c r="K134" s="169"/>
      <c r="L134" s="169"/>
      <c r="M134" s="169"/>
      <c r="N134" s="169"/>
      <c r="O134" s="169"/>
      <c r="P134"/>
    </row>
    <row r="135" spans="1:16" s="42" customFormat="1">
      <c r="A135" s="110">
        <v>1862</v>
      </c>
      <c r="B135" s="169">
        <v>5.88</v>
      </c>
      <c r="C135" s="169">
        <v>7.7399999999999997E-2</v>
      </c>
      <c r="D135" s="169">
        <v>0.22820512820512823</v>
      </c>
      <c r="E135" s="169">
        <v>0.75</v>
      </c>
      <c r="F135" s="169">
        <f t="shared" si="18"/>
        <v>16.454456551076923</v>
      </c>
      <c r="G135" s="169">
        <v>5.92</v>
      </c>
      <c r="H135" s="169">
        <v>0.34175416666666669</v>
      </c>
      <c r="I135" s="169">
        <v>3.84</v>
      </c>
      <c r="J135" s="169">
        <f t="shared" si="19"/>
        <v>3.6511628472250002</v>
      </c>
      <c r="K135" s="169"/>
      <c r="L135" s="169"/>
      <c r="M135" s="169"/>
      <c r="N135" s="169"/>
      <c r="O135" s="169"/>
      <c r="P135"/>
    </row>
    <row r="136" spans="1:16" s="42" customFormat="1">
      <c r="A136" s="110">
        <v>1863</v>
      </c>
      <c r="B136" s="169">
        <v>4.41</v>
      </c>
      <c r="C136" s="169">
        <v>7.3099999999999998E-2</v>
      </c>
      <c r="D136" s="169">
        <v>0.23589743589743595</v>
      </c>
      <c r="E136" s="169">
        <v>0.75</v>
      </c>
      <c r="F136" s="169">
        <f t="shared" si="18"/>
        <v>13.394062940461538</v>
      </c>
      <c r="G136" s="169">
        <v>5.6</v>
      </c>
      <c r="H136" s="169">
        <v>0.30269722222222223</v>
      </c>
      <c r="I136" s="169">
        <v>3.84</v>
      </c>
      <c r="J136" s="169">
        <f t="shared" si="19"/>
        <v>3.3253203239833335</v>
      </c>
      <c r="K136" s="169"/>
      <c r="L136" s="169"/>
      <c r="M136" s="169"/>
      <c r="N136" s="169"/>
      <c r="O136" s="169"/>
      <c r="P136"/>
    </row>
    <row r="137" spans="1:16" s="42" customFormat="1">
      <c r="A137" s="110">
        <v>1864</v>
      </c>
      <c r="B137" s="169">
        <v>4.41</v>
      </c>
      <c r="C137" s="169">
        <v>8.6000000000000007E-2</v>
      </c>
      <c r="D137" s="169">
        <v>0.22564102564102567</v>
      </c>
      <c r="E137" s="169">
        <v>0.8</v>
      </c>
      <c r="F137" s="169">
        <f t="shared" si="18"/>
        <v>13.447669334615385</v>
      </c>
      <c r="G137" s="169">
        <v>4.32</v>
      </c>
      <c r="H137" s="169">
        <v>0.30269722222222223</v>
      </c>
      <c r="I137" s="169">
        <v>3.2</v>
      </c>
      <c r="J137" s="169">
        <f t="shared" si="19"/>
        <v>3.0713523239833336</v>
      </c>
      <c r="K137" s="169"/>
      <c r="L137" s="169"/>
      <c r="M137" s="169"/>
      <c r="N137" s="169"/>
      <c r="O137" s="169"/>
      <c r="P137"/>
    </row>
    <row r="138" spans="1:16" s="42" customFormat="1">
      <c r="A138" s="110">
        <v>1865</v>
      </c>
      <c r="B138" s="169">
        <v>4.41</v>
      </c>
      <c r="C138" s="169">
        <v>6.88E-2</v>
      </c>
      <c r="D138" s="169">
        <v>0.23076923076923078</v>
      </c>
      <c r="E138" s="169">
        <v>0.8</v>
      </c>
      <c r="F138" s="169">
        <f t="shared" si="18"/>
        <v>13.300452347538462</v>
      </c>
      <c r="G138" s="169">
        <v>4.6399999999999997</v>
      </c>
      <c r="H138" s="169">
        <v>0.31246111111111113</v>
      </c>
      <c r="I138" s="169">
        <v>3.84</v>
      </c>
      <c r="J138" s="169">
        <f t="shared" si="19"/>
        <v>3.2416993095666671</v>
      </c>
      <c r="K138" s="169">
        <v>9</v>
      </c>
      <c r="L138" s="169">
        <f t="shared" ref="L138:L148" si="22">K138*0.257732</f>
        <v>2.319588</v>
      </c>
      <c r="M138" s="169">
        <f t="shared" ref="M138:M148" si="23">(F138+J138+L138)*0.05</f>
        <v>0.94308698285525649</v>
      </c>
      <c r="N138" s="169">
        <f t="shared" ref="N138:N148" si="24">F138+J138+L138+M138</f>
        <v>19.804826639960385</v>
      </c>
      <c r="O138" s="169">
        <v>2.9588411000100816</v>
      </c>
      <c r="P138"/>
    </row>
    <row r="139" spans="1:16" s="42" customFormat="1">
      <c r="A139" s="110">
        <v>1866</v>
      </c>
      <c r="B139" s="169">
        <v>7.3500000000000005</v>
      </c>
      <c r="C139" s="169">
        <v>9.4600000000000004E-2</v>
      </c>
      <c r="D139" s="169">
        <v>0.21794871794871795</v>
      </c>
      <c r="E139" s="169">
        <v>0.8</v>
      </c>
      <c r="F139" s="169">
        <f t="shared" si="18"/>
        <v>19.662265171230768</v>
      </c>
      <c r="G139" s="169">
        <v>5.28</v>
      </c>
      <c r="H139" s="169">
        <v>0.31246111111111113</v>
      </c>
      <c r="I139" s="169">
        <v>3.84</v>
      </c>
      <c r="J139" s="169">
        <f t="shared" si="19"/>
        <v>3.3432865095666671</v>
      </c>
      <c r="K139" s="169">
        <v>10</v>
      </c>
      <c r="L139" s="169">
        <f t="shared" si="22"/>
        <v>2.5773200000000003</v>
      </c>
      <c r="M139" s="169">
        <f t="shared" si="23"/>
        <v>1.2791435840398719</v>
      </c>
      <c r="N139" s="169">
        <f t="shared" si="24"/>
        <v>26.862015264837307</v>
      </c>
      <c r="O139" s="169">
        <v>4.0131850805666929</v>
      </c>
      <c r="P139"/>
    </row>
    <row r="140" spans="1:16" s="42" customFormat="1">
      <c r="A140" s="110">
        <v>1867</v>
      </c>
      <c r="B140" s="169">
        <v>7.3500000000000005</v>
      </c>
      <c r="C140" s="169">
        <v>0.12469999999999999</v>
      </c>
      <c r="D140" s="169">
        <v>0.2153846153846154</v>
      </c>
      <c r="E140" s="169">
        <v>0.8</v>
      </c>
      <c r="F140" s="169">
        <f t="shared" si="18"/>
        <v>19.998068744769231</v>
      </c>
      <c r="G140" s="169">
        <v>5.44</v>
      </c>
      <c r="H140" s="169">
        <v>0.31246111111111113</v>
      </c>
      <c r="I140" s="169">
        <v>3.84</v>
      </c>
      <c r="J140" s="169">
        <f t="shared" si="19"/>
        <v>3.3686833095666673</v>
      </c>
      <c r="K140" s="169">
        <v>8.5</v>
      </c>
      <c r="L140" s="169">
        <f t="shared" si="22"/>
        <v>2.1907220000000001</v>
      </c>
      <c r="M140" s="169">
        <f t="shared" si="23"/>
        <v>1.277873702716795</v>
      </c>
      <c r="N140" s="169">
        <f t="shared" si="24"/>
        <v>26.835347757052695</v>
      </c>
      <c r="O140" s="169">
        <v>4.0092009549036725</v>
      </c>
      <c r="P140"/>
    </row>
    <row r="141" spans="1:16" s="42" customFormat="1">
      <c r="A141" s="110">
        <v>1868</v>
      </c>
      <c r="B141" s="169">
        <v>7.3500000000000005</v>
      </c>
      <c r="C141" s="169">
        <v>0.12040000000000001</v>
      </c>
      <c r="D141" s="169">
        <v>0.22051282051282056</v>
      </c>
      <c r="E141" s="169">
        <v>1.2</v>
      </c>
      <c r="F141" s="169">
        <f t="shared" si="18"/>
        <v>20.179108805692312</v>
      </c>
      <c r="G141" s="169">
        <v>5.44</v>
      </c>
      <c r="H141" s="169">
        <v>0.31246111111111113</v>
      </c>
      <c r="I141" s="169">
        <v>4.16</v>
      </c>
      <c r="J141" s="169">
        <f t="shared" si="19"/>
        <v>3.3940801095666675</v>
      </c>
      <c r="K141" s="169">
        <v>11</v>
      </c>
      <c r="L141" s="169">
        <f t="shared" si="22"/>
        <v>2.8350520000000001</v>
      </c>
      <c r="M141" s="169">
        <f t="shared" si="23"/>
        <v>1.3204120457629491</v>
      </c>
      <c r="N141" s="169">
        <f t="shared" si="24"/>
        <v>27.728652961021933</v>
      </c>
      <c r="O141" s="169">
        <v>4.1426607523766767</v>
      </c>
      <c r="P141"/>
    </row>
    <row r="142" spans="1:16" s="42" customFormat="1">
      <c r="A142" s="110">
        <v>1869</v>
      </c>
      <c r="B142" s="169">
        <v>7.3500000000000005</v>
      </c>
      <c r="C142" s="169">
        <v>0.11610000000000001</v>
      </c>
      <c r="D142" s="169">
        <v>0.22564102564102567</v>
      </c>
      <c r="E142" s="169">
        <v>0.8</v>
      </c>
      <c r="F142" s="169">
        <f t="shared" si="18"/>
        <v>20.018268866615387</v>
      </c>
      <c r="G142" s="169">
        <v>5.6</v>
      </c>
      <c r="H142" s="169">
        <v>0.31246111111111113</v>
      </c>
      <c r="I142" s="169">
        <v>4.4800000000000004</v>
      </c>
      <c r="J142" s="169">
        <f t="shared" si="19"/>
        <v>3.4448737095666671</v>
      </c>
      <c r="K142" s="169">
        <v>11.5</v>
      </c>
      <c r="L142" s="169">
        <f t="shared" si="22"/>
        <v>2.9639180000000001</v>
      </c>
      <c r="M142" s="169">
        <f t="shared" si="23"/>
        <v>1.3213530288091029</v>
      </c>
      <c r="N142" s="169">
        <f t="shared" si="24"/>
        <v>27.748413604991157</v>
      </c>
      <c r="O142" s="169">
        <v>4.1456129925856793</v>
      </c>
      <c r="P142"/>
    </row>
    <row r="143" spans="1:16" s="42" customFormat="1">
      <c r="A143" s="110">
        <v>1870</v>
      </c>
      <c r="B143" s="169">
        <v>7.3500000000000005</v>
      </c>
      <c r="C143" s="169">
        <v>0.1118</v>
      </c>
      <c r="D143" s="169">
        <v>0.23076923076923078</v>
      </c>
      <c r="E143" s="169">
        <v>0.8</v>
      </c>
      <c r="F143" s="169">
        <f t="shared" si="18"/>
        <v>20.028368927538462</v>
      </c>
      <c r="G143" s="169">
        <v>5.6</v>
      </c>
      <c r="H143" s="169">
        <v>0.31246111111111113</v>
      </c>
      <c r="I143" s="169">
        <v>4.8</v>
      </c>
      <c r="J143" s="169">
        <f t="shared" si="19"/>
        <v>3.4702705095666673</v>
      </c>
      <c r="K143" s="169">
        <v>10.3</v>
      </c>
      <c r="L143" s="169">
        <f t="shared" si="22"/>
        <v>2.6546396000000003</v>
      </c>
      <c r="M143" s="169">
        <f t="shared" si="23"/>
        <v>1.3076639518552566</v>
      </c>
      <c r="N143" s="169">
        <f t="shared" si="24"/>
        <v>27.460942988960387</v>
      </c>
      <c r="O143" s="169">
        <v>3.9543757904102961</v>
      </c>
      <c r="P143"/>
    </row>
    <row r="144" spans="1:16" s="42" customFormat="1">
      <c r="A144" s="110">
        <v>1871</v>
      </c>
      <c r="B144" s="169">
        <v>8.82</v>
      </c>
      <c r="C144" s="169">
        <v>0.1032</v>
      </c>
      <c r="D144" s="169">
        <v>0.23589743589743595</v>
      </c>
      <c r="E144" s="169">
        <v>0.8</v>
      </c>
      <c r="F144" s="169">
        <f t="shared" si="18"/>
        <v>23.087793182461539</v>
      </c>
      <c r="G144" s="169">
        <v>5.6</v>
      </c>
      <c r="H144" s="169">
        <v>0.31246111111111113</v>
      </c>
      <c r="I144" s="169">
        <v>5.12</v>
      </c>
      <c r="J144" s="169">
        <f t="shared" si="19"/>
        <v>3.495667309566667</v>
      </c>
      <c r="K144" s="169">
        <v>7.5</v>
      </c>
      <c r="L144" s="169">
        <f t="shared" si="22"/>
        <v>1.9329900000000002</v>
      </c>
      <c r="M144" s="169">
        <f t="shared" si="23"/>
        <v>1.4258225246014105</v>
      </c>
      <c r="N144" s="169">
        <f t="shared" si="24"/>
        <v>29.942273016629617</v>
      </c>
      <c r="O144" s="169">
        <v>4.3116873143946641</v>
      </c>
      <c r="P144"/>
    </row>
    <row r="145" spans="1:16" s="42" customFormat="1">
      <c r="A145" s="110">
        <v>1872</v>
      </c>
      <c r="B145" s="169">
        <v>7.3500000000000005</v>
      </c>
      <c r="C145" s="169">
        <v>0.15909999999999999</v>
      </c>
      <c r="D145" s="169">
        <v>0.24615384615384617</v>
      </c>
      <c r="E145" s="169">
        <v>0.8</v>
      </c>
      <c r="F145" s="169">
        <f t="shared" si="18"/>
        <v>20.792815334307694</v>
      </c>
      <c r="G145" s="169">
        <v>5.76</v>
      </c>
      <c r="H145" s="169">
        <v>0.31944444444444448</v>
      </c>
      <c r="I145" s="169">
        <v>4.6399999999999997</v>
      </c>
      <c r="J145" s="169">
        <f t="shared" si="19"/>
        <v>3.5321473166666668</v>
      </c>
      <c r="K145" s="169">
        <v>8</v>
      </c>
      <c r="L145" s="169">
        <f t="shared" si="22"/>
        <v>2.0618560000000001</v>
      </c>
      <c r="M145" s="169">
        <f t="shared" si="23"/>
        <v>1.319340932548718</v>
      </c>
      <c r="N145" s="169">
        <f t="shared" si="24"/>
        <v>27.706159583523078</v>
      </c>
      <c r="O145" s="169">
        <v>3.9896869800273236</v>
      </c>
      <c r="P145"/>
    </row>
    <row r="146" spans="1:16" s="42" customFormat="1">
      <c r="A146" s="110">
        <v>1873</v>
      </c>
      <c r="B146" s="169">
        <v>0</v>
      </c>
      <c r="C146" s="169">
        <v>0.1376</v>
      </c>
      <c r="D146" s="169">
        <v>0.30769230769230771</v>
      </c>
      <c r="E146" s="169">
        <v>0.8</v>
      </c>
      <c r="F146" s="169">
        <f t="shared" si="18"/>
        <v>5.7722731273846151</v>
      </c>
      <c r="G146" s="169">
        <v>5.76</v>
      </c>
      <c r="H146" s="169">
        <v>0.34175416666666669</v>
      </c>
      <c r="I146" s="169">
        <v>5.12</v>
      </c>
      <c r="J146" s="169">
        <f t="shared" si="19"/>
        <v>3.7273532472249999</v>
      </c>
      <c r="K146" s="169">
        <v>7</v>
      </c>
      <c r="L146" s="169">
        <f t="shared" si="22"/>
        <v>1.8041240000000001</v>
      </c>
      <c r="M146" s="169">
        <f t="shared" si="23"/>
        <v>0.56518751873048079</v>
      </c>
      <c r="N146" s="169">
        <f t="shared" si="24"/>
        <v>11.868937893340096</v>
      </c>
      <c r="O146" s="169">
        <v>1.709127056640974</v>
      </c>
      <c r="P146"/>
    </row>
    <row r="147" spans="1:16" s="42" customFormat="1">
      <c r="A147" s="110">
        <v>1874</v>
      </c>
      <c r="B147" s="169">
        <v>8.82</v>
      </c>
      <c r="C147" s="169">
        <v>0.1462</v>
      </c>
      <c r="D147" s="169">
        <v>0.32820512820512826</v>
      </c>
      <c r="E147" s="169">
        <v>0.8</v>
      </c>
      <c r="F147" s="169">
        <f t="shared" si="18"/>
        <v>24.737886727076923</v>
      </c>
      <c r="G147" s="169">
        <v>5.76</v>
      </c>
      <c r="H147" s="169">
        <v>0.34175416666666669</v>
      </c>
      <c r="I147" s="169">
        <v>5.12</v>
      </c>
      <c r="J147" s="169">
        <f t="shared" si="19"/>
        <v>3.7273532472249999</v>
      </c>
      <c r="K147" s="169">
        <v>6</v>
      </c>
      <c r="L147" s="169">
        <f t="shared" si="22"/>
        <v>1.546392</v>
      </c>
      <c r="M147" s="169">
        <f t="shared" si="23"/>
        <v>1.5005815987150963</v>
      </c>
      <c r="N147" s="169">
        <f t="shared" si="24"/>
        <v>31.512213573017021</v>
      </c>
      <c r="O147" s="169">
        <v>4.5377587545144511</v>
      </c>
      <c r="P147"/>
    </row>
    <row r="148" spans="1:16" s="42" customFormat="1">
      <c r="A148" s="110">
        <v>1875</v>
      </c>
      <c r="B148" s="169">
        <v>8.82</v>
      </c>
      <c r="C148" s="169">
        <v>0.1376</v>
      </c>
      <c r="D148" s="169">
        <v>0.3025641025641026</v>
      </c>
      <c r="E148" s="169">
        <v>0.73</v>
      </c>
      <c r="F148" s="169">
        <f t="shared" si="18"/>
        <v>24.290398810461539</v>
      </c>
      <c r="G148" s="169">
        <v>5.76</v>
      </c>
      <c r="H148" s="169">
        <v>0.34175416666666669</v>
      </c>
      <c r="I148" s="169">
        <v>4.6399999999999997</v>
      </c>
      <c r="J148" s="169">
        <f t="shared" si="19"/>
        <v>3.6892580472250001</v>
      </c>
      <c r="K148" s="169">
        <v>7</v>
      </c>
      <c r="L148" s="169">
        <f t="shared" si="22"/>
        <v>1.8041240000000001</v>
      </c>
      <c r="M148" s="169">
        <f t="shared" si="23"/>
        <v>1.4891890428843271</v>
      </c>
      <c r="N148" s="169">
        <f t="shared" si="24"/>
        <v>31.272969900570867</v>
      </c>
      <c r="O148" s="169">
        <v>4.5033076656822049</v>
      </c>
      <c r="P148"/>
    </row>
    <row r="149" spans="1:16" s="42" customFormat="1">
      <c r="A149" s="133"/>
      <c r="B149" s="134"/>
      <c r="C149" s="135"/>
      <c r="D149" s="136"/>
      <c r="E149" s="133"/>
      <c r="F149" s="170"/>
      <c r="G149" s="133"/>
      <c r="H149" s="133"/>
      <c r="I149" s="133"/>
      <c r="J149" s="133"/>
      <c r="K149" s="140"/>
      <c r="L149" s="135"/>
      <c r="M149" s="142"/>
      <c r="N149" s="133"/>
      <c r="O149" s="1"/>
      <c r="P149"/>
    </row>
    <row r="150" spans="1:16" s="42" customFormat="1">
      <c r="A150" s="2"/>
      <c r="C150" s="36"/>
      <c r="D150" s="62"/>
      <c r="E150" s="2"/>
      <c r="F150" s="171"/>
      <c r="G150" s="2"/>
      <c r="H150" s="2"/>
      <c r="I150" s="2"/>
      <c r="J150" s="2"/>
      <c r="K150" s="43"/>
      <c r="L150" s="36"/>
      <c r="M150" s="5"/>
      <c r="N150" s="2"/>
      <c r="O150" s="1"/>
      <c r="P150"/>
    </row>
    <row r="151" spans="1:16" s="42" customFormat="1">
      <c r="A151" s="2" t="s">
        <v>589</v>
      </c>
      <c r="C151" s="36"/>
      <c r="D151" s="62"/>
      <c r="E151" s="2"/>
      <c r="F151" s="171"/>
      <c r="G151" s="2"/>
      <c r="H151" s="2"/>
      <c r="I151" s="2"/>
      <c r="J151" s="2"/>
      <c r="K151" s="43"/>
      <c r="L151" s="36"/>
      <c r="M151" s="5"/>
      <c r="N151" s="2"/>
      <c r="O151" s="1"/>
      <c r="P151"/>
    </row>
    <row r="152" spans="1:16" s="42" customFormat="1">
      <c r="A152" s="2"/>
      <c r="C152" s="36"/>
      <c r="D152" s="62"/>
      <c r="E152" s="2"/>
      <c r="F152" s="171"/>
      <c r="G152" s="2"/>
      <c r="H152" s="2"/>
      <c r="I152" s="2"/>
      <c r="J152" s="2"/>
      <c r="K152" s="43"/>
      <c r="L152" s="36"/>
      <c r="M152" s="5"/>
      <c r="N152" s="2"/>
      <c r="O152" s="1"/>
      <c r="P152"/>
    </row>
    <row r="153" spans="1:16" s="42" customFormat="1">
      <c r="A153" s="2"/>
      <c r="C153" s="36"/>
      <c r="D153" s="62"/>
      <c r="E153" s="2"/>
      <c r="F153" s="171"/>
      <c r="G153" s="2"/>
      <c r="H153" s="2"/>
      <c r="I153" s="2"/>
      <c r="J153" s="2"/>
      <c r="K153" s="43"/>
      <c r="L153" s="36"/>
      <c r="M153" s="5"/>
      <c r="N153" s="2"/>
      <c r="O153" s="1"/>
      <c r="P153"/>
    </row>
    <row r="154" spans="1:16" s="42" customFormat="1">
      <c r="A154" s="2"/>
      <c r="C154" s="36"/>
      <c r="D154" s="62"/>
      <c r="E154" s="2"/>
      <c r="F154" s="171"/>
      <c r="G154" s="2"/>
      <c r="H154" s="2"/>
      <c r="I154" s="2"/>
      <c r="J154" s="2"/>
      <c r="K154" s="43"/>
      <c r="L154" s="36"/>
      <c r="M154" s="5"/>
      <c r="N154" s="2"/>
      <c r="O154" s="1"/>
      <c r="P154"/>
    </row>
    <row r="155" spans="1:16" s="42" customFormat="1">
      <c r="A155" s="2"/>
      <c r="C155" s="36"/>
      <c r="D155" s="62"/>
      <c r="E155" s="2"/>
      <c r="F155" s="171"/>
      <c r="G155" s="2"/>
      <c r="H155" s="2"/>
      <c r="I155" s="2"/>
      <c r="J155" s="2"/>
      <c r="K155" s="43"/>
      <c r="L155" s="36"/>
      <c r="M155" s="5"/>
      <c r="N155" s="2"/>
      <c r="O155" s="1"/>
      <c r="P155"/>
    </row>
    <row r="156" spans="1:16" s="42" customFormat="1">
      <c r="A156" s="2"/>
      <c r="C156" s="36"/>
      <c r="D156" s="62"/>
      <c r="E156" s="2"/>
      <c r="F156" s="171"/>
      <c r="G156" s="2"/>
      <c r="H156" s="2"/>
      <c r="I156" s="2"/>
      <c r="J156" s="2"/>
      <c r="K156" s="43"/>
      <c r="L156" s="36"/>
      <c r="M156" s="5"/>
      <c r="N156" s="2"/>
      <c r="O156" s="1"/>
      <c r="P156"/>
    </row>
    <row r="157" spans="1:16" s="42" customFormat="1">
      <c r="A157" s="2"/>
      <c r="C157" s="36"/>
      <c r="D157" s="62"/>
      <c r="E157" s="2"/>
      <c r="F157" s="171"/>
      <c r="G157" s="2"/>
      <c r="H157" s="2"/>
      <c r="I157" s="2"/>
      <c r="J157" s="2"/>
      <c r="K157" s="43"/>
      <c r="L157" s="36"/>
      <c r="M157" s="5"/>
      <c r="N157" s="2"/>
      <c r="O157" s="1"/>
      <c r="P157"/>
    </row>
    <row r="158" spans="1:16" s="42" customFormat="1">
      <c r="A158" s="2"/>
      <c r="C158" s="36"/>
      <c r="D158" s="62"/>
      <c r="E158" s="2"/>
      <c r="F158" s="171"/>
      <c r="G158" s="2"/>
      <c r="H158" s="2"/>
      <c r="I158" s="2"/>
      <c r="J158" s="2"/>
      <c r="K158" s="43"/>
      <c r="L158" s="36"/>
      <c r="M158" s="5"/>
      <c r="N158" s="2"/>
      <c r="O158" s="1"/>
      <c r="P158"/>
    </row>
    <row r="159" spans="1:16" s="42" customFormat="1">
      <c r="A159" s="2"/>
      <c r="C159" s="36"/>
      <c r="D159" s="62"/>
      <c r="E159" s="2"/>
      <c r="F159" s="171"/>
      <c r="G159" s="2"/>
      <c r="H159" s="2"/>
      <c r="I159" s="2"/>
      <c r="J159" s="2"/>
      <c r="K159" s="43"/>
      <c r="L159" s="36"/>
      <c r="M159" s="5"/>
      <c r="N159" s="2"/>
      <c r="O159" s="1"/>
      <c r="P159"/>
    </row>
    <row r="160" spans="1:16" s="42" customFormat="1">
      <c r="A160" s="2"/>
      <c r="C160" s="36"/>
      <c r="D160" s="62"/>
      <c r="E160" s="2"/>
      <c r="F160" s="171"/>
      <c r="G160" s="2"/>
      <c r="H160" s="2"/>
      <c r="I160" s="2"/>
      <c r="J160" s="2"/>
      <c r="K160" s="43"/>
      <c r="L160" s="36"/>
      <c r="M160" s="5"/>
      <c r="N160" s="2"/>
      <c r="O160" s="1"/>
      <c r="P160"/>
    </row>
    <row r="161" spans="1:16" s="42" customFormat="1">
      <c r="A161" s="2"/>
      <c r="C161" s="36"/>
      <c r="D161" s="62"/>
      <c r="E161" s="2"/>
      <c r="F161" s="171"/>
      <c r="G161" s="2"/>
      <c r="H161" s="2"/>
      <c r="I161" s="2"/>
      <c r="J161" s="2"/>
      <c r="K161" s="43"/>
      <c r="L161" s="36"/>
      <c r="M161" s="5"/>
      <c r="N161" s="2"/>
      <c r="O161" s="1"/>
      <c r="P161"/>
    </row>
    <row r="162" spans="1:16" s="42" customFormat="1">
      <c r="A162" s="2"/>
      <c r="C162" s="36"/>
      <c r="D162" s="62"/>
      <c r="E162" s="2"/>
      <c r="F162" s="171"/>
      <c r="G162" s="2"/>
      <c r="H162" s="2"/>
      <c r="I162" s="2"/>
      <c r="J162" s="2"/>
      <c r="K162" s="43"/>
      <c r="L162" s="36"/>
      <c r="M162" s="5"/>
      <c r="N162" s="2"/>
      <c r="O162" s="1"/>
      <c r="P162"/>
    </row>
    <row r="163" spans="1:16" s="42" customFormat="1">
      <c r="A163" s="2"/>
      <c r="C163" s="36"/>
      <c r="D163" s="62"/>
      <c r="E163" s="2"/>
      <c r="F163" s="171"/>
      <c r="G163" s="2"/>
      <c r="H163" s="2"/>
      <c r="I163" s="2"/>
      <c r="J163" s="2"/>
      <c r="K163" s="43"/>
      <c r="L163" s="36"/>
      <c r="M163" s="5"/>
      <c r="N163" s="2"/>
      <c r="O163" s="1"/>
      <c r="P163"/>
    </row>
    <row r="164" spans="1:16" s="42" customFormat="1">
      <c r="A164" s="2"/>
      <c r="C164" s="36"/>
      <c r="D164" s="62"/>
      <c r="E164" s="2"/>
      <c r="F164" s="171"/>
      <c r="G164" s="2"/>
      <c r="H164" s="2"/>
      <c r="I164" s="2"/>
      <c r="J164" s="2"/>
      <c r="K164" s="43"/>
      <c r="L164" s="36"/>
      <c r="M164" s="5"/>
      <c r="N164" s="2"/>
      <c r="O164" s="1"/>
      <c r="P164"/>
    </row>
    <row r="165" spans="1:16" s="42" customFormat="1">
      <c r="A165" s="2"/>
      <c r="C165" s="36"/>
      <c r="D165" s="62"/>
      <c r="E165" s="2"/>
      <c r="F165" s="171"/>
      <c r="G165" s="2"/>
      <c r="H165" s="2"/>
      <c r="I165" s="2"/>
      <c r="J165" s="2"/>
      <c r="K165" s="43"/>
      <c r="L165" s="36"/>
      <c r="M165" s="5"/>
      <c r="N165" s="2"/>
      <c r="O165" s="1"/>
      <c r="P165"/>
    </row>
    <row r="166" spans="1:16" s="42" customFormat="1">
      <c r="A166" s="2"/>
      <c r="C166" s="36"/>
      <c r="D166" s="62"/>
      <c r="E166" s="2"/>
      <c r="F166" s="171"/>
      <c r="G166" s="2"/>
      <c r="H166" s="2"/>
      <c r="I166" s="2"/>
      <c r="J166" s="2"/>
      <c r="K166" s="43"/>
      <c r="L166" s="36"/>
      <c r="M166" s="5"/>
      <c r="N166" s="2"/>
      <c r="O166" s="1"/>
      <c r="P166"/>
    </row>
    <row r="167" spans="1:16" s="42" customFormat="1">
      <c r="A167" s="2"/>
      <c r="C167" s="36"/>
      <c r="D167" s="62"/>
      <c r="E167" s="2"/>
      <c r="F167" s="171"/>
      <c r="G167" s="2"/>
      <c r="H167" s="2"/>
      <c r="I167" s="2"/>
      <c r="J167" s="2"/>
      <c r="K167" s="43"/>
      <c r="L167" s="36"/>
      <c r="M167" s="5"/>
      <c r="N167" s="2"/>
      <c r="O167" s="1"/>
      <c r="P167"/>
    </row>
    <row r="168" spans="1:16" s="42" customFormat="1">
      <c r="A168" s="2"/>
      <c r="C168" s="36"/>
      <c r="D168" s="62"/>
      <c r="E168" s="2"/>
      <c r="F168" s="171"/>
      <c r="G168" s="2"/>
      <c r="H168" s="2"/>
      <c r="I168" s="2"/>
      <c r="J168" s="2"/>
      <c r="K168" s="43"/>
      <c r="L168" s="36"/>
      <c r="M168" s="5"/>
      <c r="N168" s="2"/>
      <c r="O168" s="1"/>
      <c r="P168"/>
    </row>
    <row r="169" spans="1:16" s="42" customFormat="1">
      <c r="A169" s="2"/>
      <c r="C169" s="36"/>
      <c r="D169" s="62"/>
      <c r="E169" s="2"/>
      <c r="F169" s="171"/>
      <c r="G169" s="2"/>
      <c r="H169" s="2"/>
      <c r="I169" s="2"/>
      <c r="J169" s="2"/>
      <c r="K169" s="43"/>
      <c r="L169" s="36"/>
      <c r="M169" s="5"/>
      <c r="N169" s="2"/>
      <c r="O169" s="1"/>
      <c r="P169"/>
    </row>
    <row r="170" spans="1:16" s="42" customFormat="1">
      <c r="A170" s="2"/>
      <c r="C170" s="36"/>
      <c r="D170" s="62"/>
      <c r="E170" s="2"/>
      <c r="F170" s="171"/>
      <c r="G170" s="2"/>
      <c r="H170" s="2"/>
      <c r="I170" s="2"/>
      <c r="J170" s="2"/>
      <c r="K170" s="43"/>
      <c r="L170" s="36"/>
      <c r="M170" s="5"/>
      <c r="N170" s="2"/>
      <c r="O170" s="1"/>
      <c r="P170"/>
    </row>
    <row r="171" spans="1:16" s="42" customFormat="1">
      <c r="A171" s="2"/>
      <c r="C171" s="36"/>
      <c r="D171" s="62"/>
      <c r="E171" s="2"/>
      <c r="F171" s="171"/>
      <c r="G171" s="2"/>
      <c r="H171" s="2"/>
      <c r="I171" s="2"/>
      <c r="J171" s="2"/>
      <c r="K171" s="43"/>
      <c r="L171" s="36"/>
      <c r="M171" s="5"/>
      <c r="N171" s="2"/>
      <c r="O171" s="1"/>
      <c r="P171"/>
    </row>
    <row r="172" spans="1:16" s="42" customFormat="1">
      <c r="A172" s="2"/>
      <c r="C172" s="36"/>
      <c r="D172" s="62"/>
      <c r="E172" s="2"/>
      <c r="F172" s="171"/>
      <c r="G172" s="2"/>
      <c r="H172" s="2"/>
      <c r="I172" s="2"/>
      <c r="J172" s="2"/>
      <c r="K172" s="43"/>
      <c r="L172" s="36"/>
      <c r="M172" s="5"/>
      <c r="N172" s="2"/>
      <c r="O172" s="1"/>
      <c r="P172"/>
    </row>
    <row r="173" spans="1:16" s="42" customFormat="1">
      <c r="A173" s="2"/>
      <c r="C173" s="36"/>
      <c r="D173" s="62"/>
      <c r="E173" s="2"/>
      <c r="F173" s="171"/>
      <c r="G173" s="2"/>
      <c r="H173" s="2"/>
      <c r="I173" s="2"/>
      <c r="J173" s="2"/>
      <c r="K173" s="43"/>
      <c r="L173" s="36"/>
      <c r="M173" s="5"/>
      <c r="N173" s="2"/>
      <c r="O173" s="1"/>
      <c r="P173"/>
    </row>
    <row r="174" spans="1:16" s="42" customFormat="1">
      <c r="A174" s="2"/>
      <c r="C174" s="36"/>
      <c r="D174" s="62"/>
      <c r="E174" s="2"/>
      <c r="F174" s="171"/>
      <c r="G174" s="2"/>
      <c r="H174" s="2"/>
      <c r="I174" s="2"/>
      <c r="J174" s="2"/>
      <c r="K174" s="43"/>
      <c r="L174" s="36"/>
      <c r="M174" s="5"/>
      <c r="N174" s="2"/>
      <c r="O174" s="1"/>
      <c r="P174"/>
    </row>
    <row r="175" spans="1:16" s="42" customFormat="1">
      <c r="A175" s="2"/>
      <c r="C175" s="36"/>
      <c r="D175" s="62"/>
      <c r="E175" s="2"/>
      <c r="F175" s="171"/>
      <c r="G175" s="2"/>
      <c r="H175" s="2"/>
      <c r="I175" s="2"/>
      <c r="J175" s="2"/>
      <c r="K175" s="43"/>
      <c r="L175" s="36"/>
      <c r="M175" s="5"/>
      <c r="N175" s="2"/>
      <c r="O175" s="1"/>
      <c r="P175"/>
    </row>
    <row r="176" spans="1:16" s="42" customFormat="1">
      <c r="A176" s="2"/>
      <c r="C176" s="36"/>
      <c r="D176" s="62"/>
      <c r="E176" s="2"/>
      <c r="F176" s="171"/>
      <c r="G176" s="2"/>
      <c r="H176" s="2"/>
      <c r="I176" s="2"/>
      <c r="J176" s="2"/>
      <c r="K176" s="43"/>
      <c r="L176" s="36"/>
      <c r="M176" s="5"/>
      <c r="N176" s="2"/>
      <c r="O176" s="1"/>
      <c r="P176"/>
    </row>
    <row r="177" spans="1:16" s="42" customFormat="1">
      <c r="A177" s="2"/>
      <c r="C177" s="36"/>
      <c r="D177" s="62"/>
      <c r="E177" s="2"/>
      <c r="F177" s="171"/>
      <c r="G177" s="2"/>
      <c r="H177" s="2"/>
      <c r="I177" s="2"/>
      <c r="J177" s="2"/>
      <c r="K177" s="43"/>
      <c r="L177" s="36"/>
      <c r="M177" s="5"/>
      <c r="N177" s="2"/>
      <c r="O177" s="1"/>
      <c r="P177"/>
    </row>
    <row r="178" spans="1:16" s="42" customFormat="1">
      <c r="A178" s="2"/>
      <c r="C178" s="36"/>
      <c r="D178" s="62"/>
      <c r="E178" s="2"/>
      <c r="F178" s="171"/>
      <c r="G178" s="2"/>
      <c r="H178" s="2"/>
      <c r="I178" s="2"/>
      <c r="J178" s="2"/>
      <c r="K178" s="43"/>
      <c r="L178" s="36"/>
      <c r="M178" s="5"/>
      <c r="N178" s="2"/>
      <c r="O178" s="1"/>
      <c r="P178"/>
    </row>
    <row r="179" spans="1:16" s="42" customFormat="1">
      <c r="A179" s="2"/>
      <c r="C179" s="36"/>
      <c r="D179" s="62"/>
      <c r="E179" s="2"/>
      <c r="F179" s="171"/>
      <c r="G179" s="2"/>
      <c r="H179" s="2"/>
      <c r="I179" s="2"/>
      <c r="J179" s="2"/>
      <c r="K179" s="43"/>
      <c r="L179" s="36"/>
      <c r="M179" s="5"/>
      <c r="N179" s="2"/>
      <c r="O179" s="1"/>
      <c r="P179"/>
    </row>
    <row r="180" spans="1:16" s="42" customFormat="1">
      <c r="A180" s="2"/>
      <c r="C180" s="36"/>
      <c r="D180" s="62"/>
      <c r="E180" s="2"/>
      <c r="F180" s="171"/>
      <c r="G180" s="2"/>
      <c r="H180" s="2"/>
      <c r="I180" s="2"/>
      <c r="J180" s="2"/>
      <c r="K180" s="43"/>
      <c r="L180" s="36"/>
      <c r="M180" s="5"/>
      <c r="N180" s="2"/>
      <c r="O180" s="1"/>
      <c r="P180"/>
    </row>
    <row r="181" spans="1:16" s="42" customFormat="1">
      <c r="A181" s="2"/>
      <c r="C181" s="36"/>
      <c r="D181" s="62"/>
      <c r="E181" s="2"/>
      <c r="F181" s="171"/>
      <c r="G181" s="2"/>
      <c r="H181" s="2"/>
      <c r="I181" s="2"/>
      <c r="J181" s="2"/>
      <c r="K181" s="43"/>
      <c r="L181" s="36"/>
      <c r="M181" s="5"/>
      <c r="N181" s="2"/>
      <c r="O181" s="1"/>
      <c r="P181"/>
    </row>
    <row r="182" spans="1:16" s="42" customFormat="1">
      <c r="A182" s="2"/>
      <c r="C182" s="36"/>
      <c r="D182" s="62"/>
      <c r="E182" s="2"/>
      <c r="F182" s="171"/>
      <c r="G182" s="2"/>
      <c r="H182" s="2"/>
      <c r="I182" s="2"/>
      <c r="J182" s="2"/>
      <c r="K182" s="43"/>
      <c r="L182" s="36"/>
      <c r="M182" s="5"/>
      <c r="N182" s="2"/>
      <c r="O182" s="1"/>
      <c r="P182"/>
    </row>
    <row r="183" spans="1:16" s="42" customFormat="1">
      <c r="A183" s="2"/>
      <c r="C183" s="36"/>
      <c r="D183" s="62"/>
      <c r="E183" s="2"/>
      <c r="F183" s="171"/>
      <c r="G183" s="2"/>
      <c r="H183" s="2"/>
      <c r="I183" s="2"/>
      <c r="J183" s="2"/>
      <c r="K183" s="43"/>
      <c r="L183" s="36"/>
      <c r="M183" s="5"/>
      <c r="N183" s="2"/>
      <c r="O183" s="1"/>
      <c r="P183"/>
    </row>
    <row r="184" spans="1:16" s="42" customFormat="1">
      <c r="A184" s="2"/>
      <c r="C184" s="36"/>
      <c r="D184" s="62"/>
      <c r="E184" s="2"/>
      <c r="F184" s="171"/>
      <c r="G184" s="2"/>
      <c r="H184" s="2"/>
      <c r="I184" s="2"/>
      <c r="J184" s="2"/>
      <c r="K184" s="43"/>
      <c r="L184" s="36"/>
      <c r="M184" s="5"/>
      <c r="N184" s="2"/>
      <c r="O184" s="1"/>
      <c r="P184"/>
    </row>
    <row r="185" spans="1:16" s="42" customFormat="1">
      <c r="A185" s="2"/>
      <c r="C185" s="36"/>
      <c r="D185" s="62"/>
      <c r="E185" s="2"/>
      <c r="F185" s="171"/>
      <c r="G185" s="2"/>
      <c r="H185" s="2"/>
      <c r="I185" s="2"/>
      <c r="J185" s="2"/>
      <c r="K185" s="43"/>
      <c r="L185" s="36"/>
      <c r="M185" s="5"/>
      <c r="N185" s="2"/>
      <c r="O185" s="1"/>
      <c r="P185"/>
    </row>
    <row r="186" spans="1:16" s="42" customFormat="1">
      <c r="A186" s="2"/>
      <c r="C186" s="36"/>
      <c r="D186" s="62"/>
      <c r="E186" s="2"/>
      <c r="F186" s="171"/>
      <c r="G186" s="2"/>
      <c r="H186" s="2"/>
      <c r="I186" s="2"/>
      <c r="J186" s="2"/>
      <c r="K186" s="43"/>
      <c r="L186" s="36"/>
      <c r="M186" s="5"/>
      <c r="N186" s="2"/>
      <c r="O186" s="1"/>
      <c r="P186"/>
    </row>
    <row r="187" spans="1:16" s="42" customFormat="1">
      <c r="A187" s="2"/>
      <c r="C187" s="36"/>
      <c r="D187" s="62"/>
      <c r="E187" s="2"/>
      <c r="F187" s="171"/>
      <c r="G187" s="2"/>
      <c r="H187" s="2"/>
      <c r="I187" s="2"/>
      <c r="J187" s="2"/>
      <c r="K187" s="43"/>
      <c r="L187" s="36"/>
      <c r="M187" s="5"/>
      <c r="N187" s="2"/>
      <c r="O187" s="1"/>
      <c r="P187"/>
    </row>
    <row r="188" spans="1:16" s="42" customFormat="1">
      <c r="A188" s="2"/>
      <c r="C188" s="36"/>
      <c r="D188" s="62"/>
      <c r="E188" s="2"/>
      <c r="F188" s="171"/>
      <c r="G188" s="2"/>
      <c r="H188" s="2"/>
      <c r="I188" s="2"/>
      <c r="J188" s="2"/>
      <c r="K188" s="43"/>
      <c r="L188" s="36"/>
      <c r="M188" s="5"/>
      <c r="N188" s="2"/>
      <c r="O188" s="1"/>
      <c r="P188"/>
    </row>
    <row r="189" spans="1:16" s="42" customFormat="1">
      <c r="A189" s="2"/>
      <c r="C189" s="36"/>
      <c r="D189" s="62"/>
      <c r="E189" s="2"/>
      <c r="F189" s="171"/>
      <c r="G189" s="2"/>
      <c r="H189" s="2"/>
      <c r="I189" s="2"/>
      <c r="J189" s="2"/>
      <c r="K189" s="43"/>
      <c r="L189" s="36"/>
      <c r="M189" s="5"/>
      <c r="N189" s="2"/>
      <c r="O189" s="1"/>
      <c r="P189"/>
    </row>
    <row r="190" spans="1:16" s="42" customFormat="1">
      <c r="A190" s="2"/>
      <c r="C190" s="36"/>
      <c r="D190" s="62"/>
      <c r="E190" s="2"/>
      <c r="F190" s="171"/>
      <c r="G190" s="2"/>
      <c r="H190" s="2"/>
      <c r="I190" s="2"/>
      <c r="J190" s="2"/>
      <c r="K190" s="43"/>
      <c r="L190" s="36"/>
      <c r="M190" s="5"/>
      <c r="N190" s="2"/>
      <c r="O190" s="1"/>
      <c r="P190"/>
    </row>
    <row r="191" spans="1:16" s="42" customFormat="1">
      <c r="A191" s="2"/>
      <c r="C191" s="36"/>
      <c r="D191" s="62"/>
      <c r="E191" s="2"/>
      <c r="F191" s="171"/>
      <c r="G191" s="2"/>
      <c r="H191" s="2"/>
      <c r="I191" s="2"/>
      <c r="J191" s="2"/>
      <c r="K191" s="43"/>
      <c r="L191" s="36"/>
      <c r="M191" s="5"/>
      <c r="N191" s="2"/>
      <c r="O191" s="1"/>
      <c r="P191"/>
    </row>
    <row r="192" spans="1:16" s="42" customFormat="1">
      <c r="A192" s="2"/>
      <c r="C192" s="36"/>
      <c r="D192" s="62"/>
      <c r="E192" s="2"/>
      <c r="F192" s="171"/>
      <c r="G192" s="2"/>
      <c r="H192" s="2"/>
      <c r="I192" s="2"/>
      <c r="J192" s="2"/>
      <c r="K192" s="43"/>
      <c r="L192" s="36"/>
      <c r="M192" s="5"/>
      <c r="N192" s="2"/>
      <c r="O192" s="1"/>
      <c r="P192"/>
    </row>
    <row r="193" spans="1:16" s="42" customFormat="1">
      <c r="A193" s="2"/>
      <c r="C193" s="36"/>
      <c r="D193" s="62"/>
      <c r="E193" s="2"/>
      <c r="F193" s="171"/>
      <c r="G193" s="2"/>
      <c r="H193" s="2"/>
      <c r="I193" s="2"/>
      <c r="J193" s="2"/>
      <c r="K193" s="43"/>
      <c r="L193" s="36"/>
      <c r="M193" s="5"/>
      <c r="N193" s="2"/>
      <c r="O193" s="1"/>
      <c r="P193"/>
    </row>
    <row r="194" spans="1:16" s="42" customFormat="1">
      <c r="A194" s="2"/>
      <c r="C194" s="36"/>
      <c r="D194" s="62"/>
      <c r="E194" s="2"/>
      <c r="F194" s="171"/>
      <c r="G194" s="2"/>
      <c r="H194" s="2"/>
      <c r="I194" s="2"/>
      <c r="J194" s="2"/>
      <c r="K194" s="43"/>
      <c r="L194" s="36"/>
      <c r="M194" s="5"/>
      <c r="N194" s="2"/>
      <c r="O194" s="1"/>
      <c r="P194"/>
    </row>
    <row r="195" spans="1:16" s="42" customFormat="1">
      <c r="A195" s="2"/>
      <c r="C195" s="36"/>
      <c r="D195" s="62"/>
      <c r="E195" s="2"/>
      <c r="F195" s="171"/>
      <c r="G195" s="2"/>
      <c r="H195" s="2"/>
      <c r="I195" s="2"/>
      <c r="J195" s="2"/>
      <c r="K195" s="43"/>
      <c r="L195" s="36"/>
      <c r="M195" s="5"/>
      <c r="N195" s="2"/>
      <c r="O195" s="1"/>
      <c r="P195"/>
    </row>
    <row r="196" spans="1:16" s="42" customFormat="1">
      <c r="A196" s="2"/>
      <c r="C196" s="36"/>
      <c r="D196" s="62"/>
      <c r="E196" s="2"/>
      <c r="F196" s="171"/>
      <c r="G196" s="2"/>
      <c r="H196" s="2"/>
      <c r="I196" s="2"/>
      <c r="J196" s="2"/>
      <c r="K196" s="43"/>
      <c r="L196" s="36"/>
      <c r="M196" s="5"/>
      <c r="N196" s="2"/>
      <c r="O196" s="1"/>
      <c r="P196"/>
    </row>
    <row r="197" spans="1:16" s="42" customFormat="1">
      <c r="A197" s="2"/>
      <c r="C197" s="36"/>
      <c r="D197" s="62"/>
      <c r="E197" s="2"/>
      <c r="F197" s="171"/>
      <c r="G197" s="2"/>
      <c r="H197" s="2"/>
      <c r="I197" s="2"/>
      <c r="J197" s="2"/>
      <c r="K197" s="43"/>
      <c r="L197" s="36"/>
      <c r="M197" s="5"/>
      <c r="N197" s="2"/>
      <c r="O197" s="1"/>
      <c r="P197"/>
    </row>
    <row r="198" spans="1:16" s="42" customFormat="1">
      <c r="A198" s="2"/>
      <c r="C198" s="36"/>
      <c r="D198" s="62"/>
      <c r="E198" s="2"/>
      <c r="F198" s="171"/>
      <c r="G198" s="2"/>
      <c r="H198" s="2"/>
      <c r="I198" s="2"/>
      <c r="J198" s="2"/>
      <c r="K198" s="43"/>
      <c r="L198" s="36"/>
      <c r="M198" s="5"/>
      <c r="N198" s="2"/>
      <c r="O198" s="1"/>
      <c r="P198"/>
    </row>
    <row r="199" spans="1:16" s="42" customFormat="1">
      <c r="A199" s="2"/>
      <c r="C199" s="36"/>
      <c r="D199" s="62"/>
      <c r="E199" s="2"/>
      <c r="F199" s="171"/>
      <c r="G199" s="2"/>
      <c r="H199" s="2"/>
      <c r="I199" s="2"/>
      <c r="J199" s="2"/>
      <c r="K199" s="43"/>
      <c r="L199" s="36"/>
      <c r="M199" s="5"/>
      <c r="N199" s="2"/>
      <c r="O199" s="1"/>
      <c r="P199"/>
    </row>
    <row r="200" spans="1:16" s="42" customFormat="1">
      <c r="A200" s="2"/>
      <c r="C200" s="36"/>
      <c r="D200" s="62"/>
      <c r="E200" s="2"/>
      <c r="F200" s="171"/>
      <c r="G200" s="2"/>
      <c r="H200" s="2"/>
      <c r="I200" s="2"/>
      <c r="J200" s="2"/>
      <c r="K200" s="43"/>
      <c r="L200" s="36"/>
      <c r="M200" s="5"/>
      <c r="N200" s="2"/>
      <c r="O200" s="1"/>
      <c r="P200"/>
    </row>
    <row r="201" spans="1:16" s="42" customFormat="1">
      <c r="A201" s="2"/>
      <c r="C201" s="36"/>
      <c r="D201" s="62"/>
      <c r="E201" s="2"/>
      <c r="F201" s="171"/>
      <c r="G201" s="2"/>
      <c r="H201" s="2"/>
      <c r="I201" s="2"/>
      <c r="J201" s="2"/>
      <c r="K201" s="43"/>
      <c r="L201" s="36"/>
      <c r="M201" s="5"/>
      <c r="N201" s="2"/>
      <c r="O201" s="1"/>
      <c r="P201"/>
    </row>
    <row r="202" spans="1:16" s="42" customFormat="1">
      <c r="A202" s="2"/>
      <c r="C202" s="36"/>
      <c r="D202" s="62"/>
      <c r="E202" s="2"/>
      <c r="F202" s="171"/>
      <c r="G202" s="2"/>
      <c r="H202" s="2"/>
      <c r="I202" s="2"/>
      <c r="J202" s="2"/>
      <c r="K202" s="43"/>
      <c r="L202" s="36"/>
      <c r="M202" s="5"/>
      <c r="N202" s="2"/>
      <c r="O202" s="1"/>
      <c r="P202"/>
    </row>
    <row r="203" spans="1:16" s="42" customFormat="1">
      <c r="A203" s="2"/>
      <c r="C203" s="36"/>
      <c r="D203" s="62"/>
      <c r="E203" s="2"/>
      <c r="F203" s="171"/>
      <c r="G203" s="2"/>
      <c r="H203" s="2"/>
      <c r="I203" s="2"/>
      <c r="J203" s="2"/>
      <c r="K203" s="43"/>
      <c r="L203" s="36"/>
      <c r="M203" s="5"/>
      <c r="N203" s="2"/>
      <c r="O203" s="1"/>
      <c r="P203"/>
    </row>
    <row r="204" spans="1:16" s="42" customFormat="1">
      <c r="A204" s="2"/>
      <c r="C204" s="36"/>
      <c r="D204" s="62"/>
      <c r="E204" s="2"/>
      <c r="F204" s="171"/>
      <c r="G204" s="2"/>
      <c r="H204" s="2"/>
      <c r="I204" s="2"/>
      <c r="J204" s="2"/>
      <c r="K204" s="43"/>
      <c r="L204" s="36"/>
      <c r="M204" s="5"/>
      <c r="N204" s="2"/>
      <c r="O204" s="1"/>
      <c r="P204"/>
    </row>
    <row r="205" spans="1:16" s="42" customFormat="1">
      <c r="A205" s="2"/>
      <c r="C205" s="36"/>
      <c r="D205" s="62"/>
      <c r="E205" s="2"/>
      <c r="F205" s="171"/>
      <c r="G205" s="2"/>
      <c r="H205" s="2"/>
      <c r="I205" s="2"/>
      <c r="J205" s="2"/>
      <c r="K205" s="43"/>
      <c r="L205" s="36"/>
      <c r="M205" s="5"/>
      <c r="N205" s="2"/>
      <c r="O205" s="1"/>
      <c r="P205"/>
    </row>
    <row r="206" spans="1:16" s="42" customFormat="1">
      <c r="A206" s="2"/>
      <c r="C206" s="36"/>
      <c r="D206" s="62"/>
      <c r="E206" s="2"/>
      <c r="F206" s="171"/>
      <c r="G206" s="2"/>
      <c r="H206" s="2"/>
      <c r="I206" s="2"/>
      <c r="J206" s="2"/>
      <c r="K206" s="43"/>
      <c r="L206" s="36"/>
      <c r="M206" s="5"/>
      <c r="N206" s="2"/>
      <c r="O206" s="1"/>
      <c r="P206"/>
    </row>
    <row r="207" spans="1:16" s="42" customFormat="1">
      <c r="A207" s="2"/>
      <c r="C207" s="36"/>
      <c r="D207" s="62"/>
      <c r="E207" s="2"/>
      <c r="F207" s="171"/>
      <c r="G207" s="2"/>
      <c r="H207" s="2"/>
      <c r="I207" s="2"/>
      <c r="J207" s="2"/>
      <c r="K207" s="43"/>
      <c r="L207" s="36"/>
      <c r="M207" s="5"/>
      <c r="N207" s="2"/>
      <c r="O207" s="1"/>
      <c r="P207"/>
    </row>
    <row r="208" spans="1:16" s="42" customFormat="1">
      <c r="A208" s="2"/>
      <c r="C208" s="36"/>
      <c r="D208" s="62"/>
      <c r="E208" s="2"/>
      <c r="F208" s="171"/>
      <c r="G208" s="2"/>
      <c r="H208" s="2"/>
      <c r="I208" s="2"/>
      <c r="J208" s="2"/>
      <c r="K208" s="43"/>
      <c r="L208" s="36"/>
      <c r="M208" s="5"/>
      <c r="N208" s="2"/>
      <c r="O208" s="1"/>
      <c r="P208"/>
    </row>
    <row r="209" spans="1:16" s="42" customFormat="1">
      <c r="A209" s="2"/>
      <c r="C209" s="36"/>
      <c r="D209" s="62"/>
      <c r="E209" s="2"/>
      <c r="F209" s="171"/>
      <c r="G209" s="2"/>
      <c r="H209" s="2"/>
      <c r="I209" s="2"/>
      <c r="J209" s="2"/>
      <c r="K209" s="43"/>
      <c r="L209" s="36"/>
      <c r="M209" s="5"/>
      <c r="N209" s="2"/>
      <c r="O209" s="1"/>
      <c r="P209"/>
    </row>
    <row r="210" spans="1:16" s="42" customFormat="1">
      <c r="A210" s="2"/>
      <c r="C210" s="36"/>
      <c r="D210" s="62"/>
      <c r="E210" s="2"/>
      <c r="F210" s="171"/>
      <c r="G210" s="2"/>
      <c r="H210" s="2"/>
      <c r="I210" s="2"/>
      <c r="J210" s="2"/>
      <c r="K210" s="43"/>
      <c r="L210" s="36"/>
      <c r="M210" s="5"/>
      <c r="N210" s="2"/>
      <c r="O210" s="1"/>
      <c r="P210"/>
    </row>
    <row r="211" spans="1:16" s="42" customFormat="1">
      <c r="A211" s="2"/>
      <c r="C211" s="36"/>
      <c r="D211" s="62"/>
      <c r="E211" s="2"/>
      <c r="F211" s="171"/>
      <c r="G211" s="2"/>
      <c r="H211" s="2"/>
      <c r="I211" s="2"/>
      <c r="J211" s="2"/>
      <c r="K211" s="43"/>
      <c r="L211" s="36"/>
      <c r="M211" s="5"/>
      <c r="N211" s="2"/>
      <c r="O211" s="1"/>
      <c r="P211"/>
    </row>
    <row r="212" spans="1:16" s="42" customFormat="1">
      <c r="A212" s="2"/>
      <c r="C212" s="36"/>
      <c r="D212" s="62"/>
      <c r="E212" s="2"/>
      <c r="F212" s="171"/>
      <c r="G212" s="2"/>
      <c r="H212" s="2"/>
      <c r="I212" s="2"/>
      <c r="J212" s="2"/>
      <c r="K212" s="43"/>
      <c r="L212" s="36"/>
      <c r="M212" s="5"/>
      <c r="N212" s="2"/>
      <c r="O212" s="1"/>
      <c r="P212"/>
    </row>
    <row r="213" spans="1:16" s="42" customFormat="1">
      <c r="A213" s="2"/>
      <c r="C213" s="36"/>
      <c r="D213" s="62"/>
      <c r="E213" s="2"/>
      <c r="F213" s="171"/>
      <c r="G213" s="2"/>
      <c r="H213" s="2"/>
      <c r="I213" s="2"/>
      <c r="J213" s="2"/>
      <c r="K213" s="43"/>
      <c r="L213" s="36"/>
      <c r="M213" s="5"/>
      <c r="N213" s="2"/>
      <c r="O213" s="1"/>
      <c r="P213"/>
    </row>
    <row r="214" spans="1:16" s="42" customFormat="1">
      <c r="A214" s="2"/>
      <c r="C214" s="36"/>
      <c r="D214" s="62"/>
      <c r="E214" s="2"/>
      <c r="F214" s="171"/>
      <c r="G214" s="2"/>
      <c r="H214" s="2"/>
      <c r="I214" s="2"/>
      <c r="J214" s="2"/>
      <c r="K214" s="43"/>
      <c r="L214" s="36"/>
      <c r="M214" s="5"/>
      <c r="N214" s="2"/>
      <c r="O214" s="1"/>
      <c r="P214"/>
    </row>
    <row r="215" spans="1:16" s="42" customFormat="1">
      <c r="A215" s="2"/>
      <c r="C215" s="36"/>
      <c r="D215" s="62"/>
      <c r="E215" s="2"/>
      <c r="F215" s="171"/>
      <c r="G215" s="2"/>
      <c r="H215" s="2"/>
      <c r="I215" s="2"/>
      <c r="J215" s="2"/>
      <c r="K215" s="43"/>
      <c r="L215" s="36"/>
      <c r="M215" s="5"/>
      <c r="N215" s="2"/>
      <c r="O215" s="1"/>
      <c r="P215"/>
    </row>
    <row r="216" spans="1:16" s="42" customFormat="1">
      <c r="A216" s="2"/>
      <c r="C216" s="36"/>
      <c r="D216" s="62"/>
      <c r="E216" s="2"/>
      <c r="F216" s="171"/>
      <c r="G216" s="2"/>
      <c r="H216" s="2"/>
      <c r="I216" s="2"/>
      <c r="J216" s="2"/>
      <c r="K216" s="43"/>
      <c r="L216" s="36"/>
      <c r="M216" s="5"/>
      <c r="N216" s="2"/>
      <c r="O216" s="1"/>
      <c r="P216"/>
    </row>
    <row r="217" spans="1:16" s="42" customFormat="1">
      <c r="A217" s="2"/>
      <c r="C217" s="36"/>
      <c r="D217" s="62"/>
      <c r="E217" s="2"/>
      <c r="F217" s="171"/>
      <c r="G217" s="2"/>
      <c r="H217" s="2"/>
      <c r="I217" s="2"/>
      <c r="J217" s="2"/>
      <c r="K217" s="43"/>
      <c r="L217" s="36"/>
      <c r="M217" s="5"/>
      <c r="N217" s="2"/>
      <c r="O217" s="1"/>
      <c r="P217"/>
    </row>
    <row r="218" spans="1:16" s="42" customFormat="1">
      <c r="A218" s="2"/>
      <c r="C218" s="36"/>
      <c r="D218" s="62"/>
      <c r="E218" s="2"/>
      <c r="F218" s="171"/>
      <c r="G218" s="2"/>
      <c r="H218" s="2"/>
      <c r="I218" s="2"/>
      <c r="J218" s="2"/>
      <c r="K218" s="43"/>
      <c r="L218" s="36"/>
      <c r="M218" s="5"/>
      <c r="N218" s="2"/>
      <c r="O218" s="1"/>
      <c r="P218"/>
    </row>
    <row r="219" spans="1:16" s="42" customFormat="1">
      <c r="A219" s="2"/>
      <c r="C219" s="36"/>
      <c r="D219" s="62"/>
      <c r="E219" s="2"/>
      <c r="F219" s="171"/>
      <c r="G219" s="2"/>
      <c r="H219" s="2"/>
      <c r="I219" s="2"/>
      <c r="J219" s="2"/>
      <c r="K219" s="43"/>
      <c r="L219" s="36"/>
      <c r="M219" s="5"/>
      <c r="N219" s="2"/>
      <c r="O219" s="1"/>
      <c r="P219"/>
    </row>
    <row r="220" spans="1:16" s="42" customFormat="1">
      <c r="A220" s="2"/>
      <c r="C220" s="36"/>
      <c r="D220" s="62"/>
      <c r="E220" s="2"/>
      <c r="F220" s="171"/>
      <c r="G220" s="2"/>
      <c r="H220" s="2"/>
      <c r="I220" s="2"/>
      <c r="J220" s="2"/>
      <c r="K220" s="43"/>
      <c r="L220" s="36"/>
      <c r="M220" s="5"/>
      <c r="N220" s="2"/>
      <c r="O220" s="1"/>
      <c r="P220"/>
    </row>
    <row r="221" spans="1:16" s="42" customFormat="1">
      <c r="A221" s="2"/>
      <c r="C221" s="36"/>
      <c r="D221" s="62"/>
      <c r="E221" s="2"/>
      <c r="F221" s="171"/>
      <c r="G221" s="2"/>
      <c r="H221" s="2"/>
      <c r="I221" s="2"/>
      <c r="J221" s="2"/>
      <c r="K221" s="43"/>
      <c r="L221" s="36"/>
      <c r="M221" s="5"/>
      <c r="N221" s="2"/>
      <c r="O221" s="1"/>
      <c r="P221"/>
    </row>
    <row r="222" spans="1:16" s="42" customFormat="1">
      <c r="A222" s="2"/>
      <c r="C222" s="36"/>
      <c r="D222" s="62"/>
      <c r="E222" s="2"/>
      <c r="F222" s="171"/>
      <c r="G222" s="2"/>
      <c r="H222" s="2"/>
      <c r="I222" s="2"/>
      <c r="J222" s="2"/>
      <c r="K222" s="43"/>
      <c r="L222" s="36"/>
      <c r="M222" s="5"/>
      <c r="N222" s="2"/>
      <c r="O222" s="1"/>
      <c r="P222"/>
    </row>
    <row r="223" spans="1:16" s="42" customFormat="1">
      <c r="A223" s="2"/>
      <c r="C223" s="36"/>
      <c r="D223" s="62"/>
      <c r="E223" s="2"/>
      <c r="F223" s="171"/>
      <c r="G223" s="2"/>
      <c r="H223" s="2"/>
      <c r="I223" s="2"/>
      <c r="J223" s="2"/>
      <c r="K223" s="43"/>
      <c r="L223" s="36"/>
      <c r="M223" s="5"/>
      <c r="N223" s="2"/>
      <c r="O223" s="1"/>
      <c r="P223"/>
    </row>
    <row r="224" spans="1:16" s="42" customFormat="1">
      <c r="A224" s="2"/>
      <c r="C224" s="36"/>
      <c r="D224" s="62"/>
      <c r="E224" s="2"/>
      <c r="F224" s="171"/>
      <c r="G224" s="2"/>
      <c r="H224" s="2"/>
      <c r="I224" s="2"/>
      <c r="J224" s="2"/>
      <c r="K224" s="43"/>
      <c r="L224" s="36"/>
      <c r="M224" s="5"/>
      <c r="N224" s="2"/>
      <c r="O224" s="1"/>
      <c r="P224"/>
    </row>
    <row r="225" spans="1:16" s="42" customFormat="1">
      <c r="A225" s="2"/>
      <c r="C225" s="36"/>
      <c r="D225" s="62"/>
      <c r="E225" s="2"/>
      <c r="F225" s="171"/>
      <c r="G225" s="2"/>
      <c r="H225" s="2"/>
      <c r="I225" s="2"/>
      <c r="J225" s="2"/>
      <c r="K225" s="43"/>
      <c r="L225" s="36"/>
      <c r="M225" s="5"/>
      <c r="N225" s="2"/>
      <c r="O225" s="1"/>
      <c r="P225"/>
    </row>
    <row r="226" spans="1:16" s="42" customFormat="1">
      <c r="A226" s="2"/>
      <c r="C226" s="36"/>
      <c r="D226" s="62"/>
      <c r="E226" s="2"/>
      <c r="F226" s="171"/>
      <c r="G226" s="2"/>
      <c r="H226" s="2"/>
      <c r="I226" s="2"/>
      <c r="J226" s="2"/>
      <c r="K226" s="43"/>
      <c r="L226" s="36"/>
      <c r="M226" s="5"/>
      <c r="N226" s="2"/>
      <c r="O226" s="1"/>
      <c r="P226"/>
    </row>
    <row r="227" spans="1:16" s="42" customFormat="1">
      <c r="A227" s="2"/>
      <c r="C227" s="36"/>
      <c r="D227" s="62"/>
      <c r="E227" s="2"/>
      <c r="F227" s="171"/>
      <c r="G227" s="2"/>
      <c r="H227" s="2"/>
      <c r="I227" s="2"/>
      <c r="J227" s="2"/>
      <c r="K227" s="43"/>
      <c r="L227" s="36"/>
      <c r="M227" s="5"/>
      <c r="N227" s="2"/>
      <c r="O227" s="1"/>
      <c r="P227"/>
    </row>
    <row r="228" spans="1:16" s="42" customFormat="1">
      <c r="A228" s="2"/>
      <c r="C228" s="36"/>
      <c r="D228" s="62"/>
      <c r="E228" s="2"/>
      <c r="F228" s="171"/>
      <c r="G228" s="2"/>
      <c r="H228" s="2"/>
      <c r="I228" s="2"/>
      <c r="J228" s="2"/>
      <c r="K228" s="43"/>
      <c r="L228" s="36"/>
      <c r="M228" s="5"/>
      <c r="N228" s="2"/>
      <c r="O228" s="1"/>
      <c r="P228"/>
    </row>
    <row r="229" spans="1:16" s="42" customFormat="1">
      <c r="A229" s="2"/>
      <c r="C229" s="36"/>
      <c r="D229" s="62"/>
      <c r="E229" s="2"/>
      <c r="F229" s="171"/>
      <c r="G229" s="2"/>
      <c r="H229" s="2"/>
      <c r="I229" s="2"/>
      <c r="J229" s="2"/>
      <c r="K229" s="43"/>
      <c r="L229" s="36"/>
      <c r="M229" s="5"/>
      <c r="N229" s="2"/>
      <c r="O229" s="1"/>
      <c r="P229"/>
    </row>
    <row r="230" spans="1:16" s="42" customFormat="1">
      <c r="A230" s="2"/>
      <c r="C230" s="36"/>
      <c r="D230" s="62"/>
      <c r="E230" s="2"/>
      <c r="F230" s="171"/>
      <c r="G230" s="2"/>
      <c r="H230" s="2"/>
      <c r="I230" s="2"/>
      <c r="J230" s="2"/>
      <c r="K230" s="43"/>
      <c r="L230" s="36"/>
      <c r="M230" s="5"/>
      <c r="N230" s="2"/>
      <c r="O230" s="1"/>
      <c r="P230"/>
    </row>
    <row r="231" spans="1:16" s="42" customFormat="1">
      <c r="A231" s="2"/>
      <c r="C231" s="36"/>
      <c r="D231" s="62"/>
      <c r="E231" s="2"/>
      <c r="F231" s="171"/>
      <c r="G231" s="2"/>
      <c r="H231" s="2"/>
      <c r="I231" s="2"/>
      <c r="J231" s="2"/>
      <c r="K231" s="43"/>
      <c r="L231" s="36"/>
      <c r="M231" s="5"/>
      <c r="N231" s="2"/>
      <c r="O231" s="1"/>
      <c r="P231"/>
    </row>
    <row r="232" spans="1:16" s="42" customFormat="1">
      <c r="A232" s="2"/>
      <c r="C232" s="36"/>
      <c r="D232" s="62"/>
      <c r="E232" s="2"/>
      <c r="F232" s="171"/>
      <c r="G232" s="2"/>
      <c r="H232" s="2"/>
      <c r="I232" s="2"/>
      <c r="J232" s="2"/>
      <c r="K232" s="43"/>
      <c r="L232" s="36"/>
      <c r="M232" s="5"/>
      <c r="N232" s="2"/>
      <c r="O232" s="1"/>
      <c r="P232"/>
    </row>
    <row r="233" spans="1:16" s="42" customFormat="1">
      <c r="A233" s="2"/>
      <c r="C233" s="36"/>
      <c r="D233" s="62"/>
      <c r="E233" s="2"/>
      <c r="F233" s="171"/>
      <c r="G233" s="2"/>
      <c r="H233" s="2"/>
      <c r="I233" s="2"/>
      <c r="J233" s="2"/>
      <c r="K233" s="43"/>
      <c r="L233" s="36"/>
      <c r="M233" s="5"/>
      <c r="N233" s="2"/>
      <c r="O233" s="1"/>
      <c r="P233"/>
    </row>
    <row r="234" spans="1:16" s="42" customFormat="1">
      <c r="A234" s="2"/>
      <c r="C234" s="36"/>
      <c r="D234" s="62"/>
      <c r="E234" s="2"/>
      <c r="F234" s="171"/>
      <c r="G234" s="2"/>
      <c r="H234" s="2"/>
      <c r="I234" s="2"/>
      <c r="J234" s="2"/>
      <c r="K234" s="43"/>
      <c r="L234" s="36"/>
      <c r="M234" s="5"/>
      <c r="N234" s="2"/>
      <c r="O234" s="1"/>
      <c r="P234"/>
    </row>
    <row r="235" spans="1:16" s="42" customFormat="1">
      <c r="A235" s="2"/>
      <c r="C235" s="36"/>
      <c r="D235" s="62"/>
      <c r="E235" s="2"/>
      <c r="F235" s="171"/>
      <c r="G235" s="2"/>
      <c r="H235" s="2"/>
      <c r="I235" s="2"/>
      <c r="J235" s="2"/>
      <c r="K235" s="43"/>
      <c r="L235" s="36"/>
      <c r="M235" s="5"/>
      <c r="N235" s="2"/>
      <c r="O235" s="1"/>
      <c r="P235"/>
    </row>
    <row r="236" spans="1:16" s="42" customFormat="1">
      <c r="A236" s="2"/>
      <c r="C236" s="36"/>
      <c r="D236" s="62"/>
      <c r="E236" s="2"/>
      <c r="F236" s="171"/>
      <c r="G236" s="2"/>
      <c r="H236" s="2"/>
      <c r="I236" s="2"/>
      <c r="J236" s="2"/>
      <c r="K236" s="43"/>
      <c r="L236" s="36"/>
      <c r="M236" s="5"/>
      <c r="N236" s="2"/>
      <c r="O236" s="1"/>
      <c r="P236"/>
    </row>
    <row r="237" spans="1:16" s="42" customFormat="1">
      <c r="A237" s="2"/>
      <c r="C237" s="36"/>
      <c r="D237" s="62"/>
      <c r="E237" s="2"/>
      <c r="F237" s="171"/>
      <c r="G237" s="2"/>
      <c r="H237" s="2"/>
      <c r="I237" s="2"/>
      <c r="J237" s="2"/>
      <c r="K237" s="43"/>
      <c r="L237" s="36"/>
      <c r="M237" s="5"/>
      <c r="N237" s="2"/>
      <c r="O237" s="1"/>
      <c r="P237"/>
    </row>
    <row r="238" spans="1:16" s="42" customFormat="1">
      <c r="A238" s="2"/>
      <c r="C238" s="36"/>
      <c r="D238" s="62"/>
      <c r="E238" s="2"/>
      <c r="F238" s="171"/>
      <c r="G238" s="2"/>
      <c r="H238" s="2"/>
      <c r="I238" s="2"/>
      <c r="J238" s="2"/>
      <c r="K238" s="43"/>
      <c r="L238" s="36"/>
      <c r="M238" s="5"/>
      <c r="N238" s="2"/>
      <c r="O238" s="1"/>
      <c r="P238"/>
    </row>
    <row r="239" spans="1:16" s="42" customFormat="1">
      <c r="A239" s="2"/>
      <c r="C239" s="36"/>
      <c r="D239" s="62"/>
      <c r="E239" s="2"/>
      <c r="F239" s="171"/>
      <c r="G239" s="2"/>
      <c r="H239" s="2"/>
      <c r="I239" s="2"/>
      <c r="J239" s="2"/>
      <c r="K239" s="43"/>
      <c r="L239" s="36"/>
      <c r="M239" s="5"/>
      <c r="N239" s="2"/>
      <c r="O239" s="1"/>
      <c r="P239"/>
    </row>
    <row r="240" spans="1:16" s="42" customFormat="1">
      <c r="A240" s="2"/>
      <c r="C240" s="36"/>
      <c r="D240" s="62"/>
      <c r="E240" s="2"/>
      <c r="F240" s="171"/>
      <c r="G240" s="2"/>
      <c r="H240" s="2"/>
      <c r="I240" s="2"/>
      <c r="J240" s="2"/>
      <c r="K240" s="43"/>
      <c r="L240" s="36"/>
      <c r="M240" s="5"/>
      <c r="N240" s="2"/>
      <c r="O240" s="1"/>
      <c r="P240"/>
    </row>
    <row r="241" spans="1:16" s="42" customFormat="1">
      <c r="A241" s="2"/>
      <c r="C241" s="36"/>
      <c r="D241" s="62"/>
      <c r="E241" s="2"/>
      <c r="F241" s="171"/>
      <c r="G241" s="2"/>
      <c r="H241" s="2"/>
      <c r="I241" s="2"/>
      <c r="J241" s="2"/>
      <c r="K241" s="43"/>
      <c r="L241" s="36"/>
      <c r="M241" s="5"/>
      <c r="N241" s="2"/>
      <c r="O241" s="1"/>
      <c r="P241"/>
    </row>
    <row r="242" spans="1:16" s="42" customFormat="1">
      <c r="A242" s="2"/>
      <c r="C242" s="36"/>
      <c r="D242" s="62"/>
      <c r="E242" s="2"/>
      <c r="F242" s="171"/>
      <c r="G242" s="2"/>
      <c r="H242" s="2"/>
      <c r="I242" s="2"/>
      <c r="J242" s="2"/>
      <c r="K242" s="43"/>
      <c r="L242" s="36"/>
      <c r="M242" s="5"/>
      <c r="N242" s="2"/>
      <c r="O242" s="1"/>
      <c r="P242"/>
    </row>
    <row r="243" spans="1:16" s="42" customFormat="1">
      <c r="A243" s="2"/>
      <c r="C243" s="36"/>
      <c r="D243" s="62"/>
      <c r="E243" s="2"/>
      <c r="F243" s="171"/>
      <c r="G243" s="2"/>
      <c r="H243" s="2"/>
      <c r="I243" s="2"/>
      <c r="J243" s="2"/>
      <c r="K243" s="43"/>
      <c r="L243" s="36"/>
      <c r="M243" s="5"/>
      <c r="N243" s="2"/>
      <c r="O243" s="1"/>
      <c r="P243"/>
    </row>
    <row r="244" spans="1:16" s="42" customFormat="1">
      <c r="A244" s="2"/>
      <c r="C244" s="36"/>
      <c r="D244" s="62"/>
      <c r="E244" s="2"/>
      <c r="F244" s="171"/>
      <c r="G244" s="2"/>
      <c r="H244" s="2"/>
      <c r="I244" s="2"/>
      <c r="J244" s="2"/>
      <c r="K244" s="43"/>
      <c r="L244" s="36"/>
      <c r="M244" s="5"/>
      <c r="N244" s="2"/>
      <c r="O244" s="1"/>
      <c r="P244"/>
    </row>
    <row r="245" spans="1:16" s="42" customFormat="1">
      <c r="A245" s="2"/>
      <c r="C245" s="36"/>
      <c r="D245" s="62"/>
      <c r="E245" s="2"/>
      <c r="F245" s="171"/>
      <c r="G245" s="2"/>
      <c r="H245" s="2"/>
      <c r="I245" s="2"/>
      <c r="J245" s="2"/>
      <c r="K245" s="43"/>
      <c r="L245" s="36"/>
      <c r="M245" s="5"/>
      <c r="N245" s="2"/>
      <c r="O245" s="1"/>
      <c r="P245"/>
    </row>
    <row r="246" spans="1:16" s="42" customFormat="1">
      <c r="A246" s="2"/>
      <c r="C246" s="36"/>
      <c r="D246" s="62"/>
      <c r="E246" s="2"/>
      <c r="F246" s="171"/>
      <c r="G246" s="2"/>
      <c r="H246" s="2"/>
      <c r="I246" s="2"/>
      <c r="J246" s="2"/>
      <c r="K246" s="43"/>
      <c r="L246" s="36"/>
      <c r="M246" s="5"/>
      <c r="N246" s="2"/>
      <c r="O246" s="1"/>
      <c r="P246"/>
    </row>
    <row r="247" spans="1:16" s="42" customFormat="1">
      <c r="A247" s="2"/>
      <c r="C247" s="36"/>
      <c r="D247" s="62"/>
      <c r="E247" s="2"/>
      <c r="F247" s="171"/>
      <c r="G247" s="2"/>
      <c r="H247" s="2"/>
      <c r="I247" s="2"/>
      <c r="J247" s="2"/>
      <c r="K247" s="43"/>
      <c r="L247" s="36"/>
      <c r="M247" s="5"/>
      <c r="N247" s="2"/>
      <c r="O247" s="1"/>
      <c r="P247"/>
    </row>
    <row r="248" spans="1:16" s="42" customFormat="1">
      <c r="A248" s="2"/>
      <c r="C248" s="36"/>
      <c r="D248" s="62"/>
      <c r="E248" s="2"/>
      <c r="F248" s="171"/>
      <c r="G248" s="2"/>
      <c r="H248" s="2"/>
      <c r="I248" s="2"/>
      <c r="J248" s="2"/>
      <c r="K248" s="43"/>
      <c r="L248" s="36"/>
      <c r="M248" s="5"/>
      <c r="N248" s="2"/>
      <c r="O248" s="1"/>
      <c r="P248"/>
    </row>
    <row r="249" spans="1:16" s="42" customFormat="1">
      <c r="A249" s="2"/>
      <c r="C249" s="36"/>
      <c r="D249" s="62"/>
      <c r="E249" s="2"/>
      <c r="F249" s="171"/>
      <c r="G249" s="2"/>
      <c r="H249" s="2"/>
      <c r="I249" s="2"/>
      <c r="J249" s="2"/>
      <c r="K249" s="43"/>
      <c r="L249" s="36"/>
      <c r="M249" s="5"/>
      <c r="N249" s="2"/>
      <c r="O249" s="1"/>
      <c r="P249"/>
    </row>
    <row r="250" spans="1:16" s="42" customFormat="1">
      <c r="A250" s="2"/>
      <c r="C250" s="36"/>
      <c r="D250" s="62"/>
      <c r="E250" s="2"/>
      <c r="F250" s="171"/>
      <c r="G250" s="2"/>
      <c r="H250" s="2"/>
      <c r="I250" s="2"/>
      <c r="J250" s="2"/>
      <c r="K250" s="43"/>
      <c r="L250" s="36"/>
      <c r="M250" s="5"/>
      <c r="N250" s="2"/>
      <c r="O250" s="1"/>
      <c r="P250"/>
    </row>
    <row r="251" spans="1:16" s="42" customFormat="1">
      <c r="A251" s="2"/>
      <c r="C251" s="36"/>
      <c r="D251" s="62"/>
      <c r="E251" s="2"/>
      <c r="F251" s="171"/>
      <c r="G251" s="2"/>
      <c r="H251" s="2"/>
      <c r="I251" s="2"/>
      <c r="J251" s="2"/>
      <c r="K251" s="43"/>
      <c r="L251" s="36"/>
      <c r="M251" s="5"/>
      <c r="N251" s="2"/>
      <c r="O251" s="1"/>
      <c r="P251"/>
    </row>
    <row r="252" spans="1:16" s="42" customFormat="1">
      <c r="A252" s="2"/>
      <c r="C252" s="36"/>
      <c r="D252" s="62"/>
      <c r="E252" s="2"/>
      <c r="F252" s="171"/>
      <c r="G252" s="2"/>
      <c r="H252" s="2"/>
      <c r="I252" s="2"/>
      <c r="J252" s="2"/>
      <c r="K252" s="43"/>
      <c r="L252" s="36"/>
      <c r="M252" s="5"/>
      <c r="N252" s="2"/>
      <c r="O252" s="1"/>
      <c r="P252"/>
    </row>
    <row r="253" spans="1:16" s="42" customFormat="1">
      <c r="A253" s="2"/>
      <c r="C253" s="36"/>
      <c r="D253" s="62"/>
      <c r="E253" s="2"/>
      <c r="F253" s="171"/>
      <c r="G253" s="2"/>
      <c r="H253" s="2"/>
      <c r="I253" s="2"/>
      <c r="J253" s="2"/>
      <c r="K253" s="43"/>
      <c r="L253" s="36"/>
      <c r="M253" s="5"/>
      <c r="N253" s="2"/>
      <c r="O253" s="1"/>
      <c r="P253"/>
    </row>
    <row r="254" spans="1:16" s="42" customFormat="1">
      <c r="A254" s="2"/>
      <c r="C254" s="36"/>
      <c r="D254" s="62"/>
      <c r="E254" s="2"/>
      <c r="F254" s="171"/>
      <c r="G254" s="2"/>
      <c r="H254" s="2"/>
      <c r="I254" s="2"/>
      <c r="J254" s="2"/>
      <c r="K254" s="43"/>
      <c r="L254" s="36"/>
      <c r="M254" s="5"/>
      <c r="N254" s="2"/>
      <c r="O254" s="1"/>
      <c r="P254"/>
    </row>
    <row r="255" spans="1:16" s="42" customFormat="1">
      <c r="A255" s="2"/>
      <c r="C255" s="36"/>
      <c r="D255" s="62"/>
      <c r="E255" s="2"/>
      <c r="F255" s="171"/>
      <c r="G255" s="2"/>
      <c r="H255" s="2"/>
      <c r="I255" s="2"/>
      <c r="J255" s="2"/>
      <c r="K255" s="43"/>
      <c r="L255" s="36"/>
      <c r="M255" s="5"/>
      <c r="N255" s="2"/>
      <c r="O255" s="1"/>
      <c r="P255"/>
    </row>
    <row r="256" spans="1:16" s="42" customFormat="1">
      <c r="A256" s="2"/>
      <c r="C256" s="36"/>
      <c r="D256" s="62"/>
      <c r="E256" s="2"/>
      <c r="F256" s="171"/>
      <c r="G256" s="2"/>
      <c r="H256" s="2"/>
      <c r="I256" s="2"/>
      <c r="J256" s="2"/>
      <c r="K256" s="43"/>
      <c r="L256" s="36"/>
      <c r="M256" s="5"/>
      <c r="N256" s="2"/>
      <c r="O256" s="1"/>
      <c r="P256"/>
    </row>
    <row r="257" spans="1:16" s="42" customFormat="1">
      <c r="A257" s="2"/>
      <c r="C257" s="36"/>
      <c r="D257" s="62"/>
      <c r="E257" s="2"/>
      <c r="F257" s="171"/>
      <c r="G257" s="2"/>
      <c r="H257" s="2"/>
      <c r="I257" s="2"/>
      <c r="J257" s="2"/>
      <c r="K257" s="43"/>
      <c r="L257" s="36"/>
      <c r="M257" s="5"/>
      <c r="N257" s="2"/>
      <c r="O257" s="1"/>
      <c r="P257"/>
    </row>
    <row r="258" spans="1:16" s="42" customFormat="1">
      <c r="A258" s="2"/>
      <c r="C258" s="36"/>
      <c r="D258" s="62"/>
      <c r="E258" s="2"/>
      <c r="F258" s="171"/>
      <c r="G258" s="2"/>
      <c r="H258" s="2"/>
      <c r="I258" s="2"/>
      <c r="J258" s="2"/>
      <c r="K258" s="43"/>
      <c r="L258" s="36"/>
      <c r="M258" s="5"/>
      <c r="N258" s="2"/>
      <c r="O258" s="1"/>
      <c r="P258"/>
    </row>
    <row r="259" spans="1:16" s="42" customFormat="1">
      <c r="A259" s="2"/>
      <c r="C259" s="36"/>
      <c r="D259" s="62"/>
      <c r="E259" s="2"/>
      <c r="F259" s="171"/>
      <c r="G259" s="2"/>
      <c r="H259" s="2"/>
      <c r="I259" s="2"/>
      <c r="J259" s="2"/>
      <c r="K259" s="43"/>
      <c r="L259" s="36"/>
      <c r="M259" s="5"/>
      <c r="N259" s="2"/>
      <c r="O259" s="1"/>
      <c r="P259"/>
    </row>
    <row r="260" spans="1:16" s="42" customFormat="1">
      <c r="A260" s="2"/>
      <c r="C260" s="36"/>
      <c r="D260" s="62"/>
      <c r="E260" s="2"/>
      <c r="F260" s="171"/>
      <c r="G260" s="2"/>
      <c r="H260" s="2"/>
      <c r="I260" s="2"/>
      <c r="J260" s="2"/>
      <c r="K260" s="43"/>
      <c r="L260" s="36"/>
      <c r="M260" s="5"/>
      <c r="N260" s="2"/>
      <c r="O260" s="1"/>
      <c r="P260"/>
    </row>
    <row r="261" spans="1:16" s="42" customFormat="1">
      <c r="A261" s="2"/>
      <c r="C261" s="36"/>
      <c r="D261" s="62"/>
      <c r="E261" s="2"/>
      <c r="F261" s="171"/>
      <c r="G261" s="2"/>
      <c r="H261" s="2"/>
      <c r="I261" s="2"/>
      <c r="J261" s="2"/>
      <c r="K261" s="43"/>
      <c r="L261" s="36"/>
      <c r="M261" s="5"/>
      <c r="N261" s="2"/>
      <c r="O261" s="1"/>
      <c r="P261"/>
    </row>
    <row r="262" spans="1:16" s="42" customFormat="1">
      <c r="A262" s="2"/>
      <c r="C262" s="36"/>
      <c r="D262" s="62"/>
      <c r="E262" s="2"/>
      <c r="F262" s="171"/>
      <c r="G262" s="2"/>
      <c r="H262" s="2"/>
      <c r="I262" s="2"/>
      <c r="J262" s="2"/>
      <c r="K262" s="43"/>
      <c r="L262" s="36"/>
      <c r="M262" s="5"/>
      <c r="N262" s="2"/>
      <c r="O262" s="1"/>
      <c r="P262"/>
    </row>
    <row r="263" spans="1:16" s="42" customFormat="1">
      <c r="A263" s="2"/>
      <c r="C263" s="36"/>
      <c r="D263" s="62"/>
      <c r="E263" s="2"/>
      <c r="F263" s="171"/>
      <c r="G263" s="2"/>
      <c r="H263" s="2"/>
      <c r="I263" s="2"/>
      <c r="J263" s="2"/>
      <c r="K263" s="43"/>
      <c r="L263" s="36"/>
      <c r="M263" s="5"/>
      <c r="N263" s="2"/>
      <c r="O263" s="1"/>
      <c r="P263"/>
    </row>
    <row r="264" spans="1:16" s="42" customFormat="1">
      <c r="A264" s="2"/>
      <c r="C264" s="36"/>
      <c r="D264" s="62"/>
      <c r="E264" s="2"/>
      <c r="F264" s="171"/>
      <c r="G264" s="2"/>
      <c r="H264" s="2"/>
      <c r="I264" s="2"/>
      <c r="J264" s="2"/>
      <c r="K264" s="43"/>
      <c r="L264" s="36"/>
      <c r="M264" s="5"/>
      <c r="N264" s="2"/>
      <c r="O264" s="1"/>
      <c r="P264"/>
    </row>
    <row r="265" spans="1:16" s="42" customFormat="1">
      <c r="A265" s="2"/>
      <c r="C265" s="36"/>
      <c r="D265" s="62"/>
      <c r="E265" s="2"/>
      <c r="F265" s="171"/>
      <c r="G265" s="2"/>
      <c r="H265" s="2"/>
      <c r="I265" s="2"/>
      <c r="J265" s="2"/>
      <c r="K265" s="43"/>
      <c r="L265" s="36"/>
      <c r="M265" s="5"/>
      <c r="N265" s="2"/>
      <c r="O265" s="1"/>
      <c r="P265"/>
    </row>
    <row r="266" spans="1:16" s="42" customFormat="1">
      <c r="A266" s="2"/>
      <c r="C266" s="36"/>
      <c r="D266" s="62"/>
      <c r="E266" s="2"/>
      <c r="F266" s="171"/>
      <c r="G266" s="2"/>
      <c r="H266" s="2"/>
      <c r="I266" s="2"/>
      <c r="J266" s="2"/>
      <c r="K266" s="43"/>
      <c r="L266" s="36"/>
      <c r="M266" s="5"/>
      <c r="N266" s="2"/>
      <c r="O266" s="1"/>
      <c r="P266"/>
    </row>
    <row r="267" spans="1:16" s="42" customFormat="1">
      <c r="A267" s="2"/>
      <c r="C267" s="36"/>
      <c r="D267" s="62"/>
      <c r="E267" s="2"/>
      <c r="F267" s="171"/>
      <c r="G267" s="2"/>
      <c r="H267" s="2"/>
      <c r="I267" s="2"/>
      <c r="J267" s="2"/>
      <c r="K267" s="43"/>
      <c r="L267" s="36"/>
      <c r="M267" s="5"/>
      <c r="N267" s="2"/>
      <c r="O267" s="1"/>
      <c r="P267"/>
    </row>
    <row r="268" spans="1:16" s="42" customFormat="1">
      <c r="A268" s="2"/>
      <c r="C268" s="36"/>
      <c r="D268" s="62"/>
      <c r="E268" s="2"/>
      <c r="F268" s="171"/>
      <c r="G268" s="2"/>
      <c r="H268" s="2"/>
      <c r="I268" s="2"/>
      <c r="J268" s="2"/>
      <c r="K268" s="43"/>
      <c r="L268" s="36"/>
      <c r="M268" s="5"/>
      <c r="N268" s="2"/>
      <c r="O268" s="1"/>
      <c r="P268"/>
    </row>
    <row r="269" spans="1:16" s="42" customFormat="1">
      <c r="A269" s="2"/>
      <c r="C269" s="36"/>
      <c r="D269" s="62"/>
      <c r="E269" s="2"/>
      <c r="F269" s="171"/>
      <c r="G269" s="2"/>
      <c r="H269" s="2"/>
      <c r="I269" s="2"/>
      <c r="J269" s="2"/>
      <c r="K269" s="43"/>
      <c r="L269" s="36"/>
      <c r="M269" s="5"/>
      <c r="N269" s="2"/>
      <c r="O269" s="1"/>
      <c r="P269"/>
    </row>
    <row r="270" spans="1:16" s="42" customFormat="1">
      <c r="A270" s="2"/>
      <c r="C270" s="36"/>
      <c r="D270" s="62"/>
      <c r="E270" s="2"/>
      <c r="F270" s="171"/>
      <c r="G270" s="2"/>
      <c r="H270" s="2"/>
      <c r="I270" s="2"/>
      <c r="J270" s="2"/>
      <c r="K270" s="43"/>
      <c r="L270" s="36"/>
      <c r="M270" s="5"/>
      <c r="N270" s="2"/>
      <c r="O270" s="1"/>
      <c r="P270"/>
    </row>
    <row r="271" spans="1:16" s="42" customFormat="1">
      <c r="A271" s="2"/>
      <c r="C271" s="36"/>
      <c r="D271" s="62"/>
      <c r="E271" s="2"/>
      <c r="F271" s="171"/>
      <c r="G271" s="2"/>
      <c r="H271" s="2"/>
      <c r="I271" s="2"/>
      <c r="J271" s="2"/>
      <c r="K271" s="43"/>
      <c r="L271" s="36"/>
      <c r="M271" s="5"/>
      <c r="N271" s="2"/>
      <c r="O271" s="1"/>
      <c r="P271"/>
    </row>
    <row r="272" spans="1:16" s="42" customFormat="1">
      <c r="A272" s="2"/>
      <c r="C272" s="36"/>
      <c r="D272" s="62"/>
      <c r="E272" s="2"/>
      <c r="F272" s="171"/>
      <c r="G272" s="2"/>
      <c r="H272" s="2"/>
      <c r="I272" s="2"/>
      <c r="J272" s="2"/>
      <c r="K272" s="43"/>
      <c r="L272" s="36"/>
      <c r="M272" s="5"/>
      <c r="N272" s="2"/>
      <c r="O272" s="1"/>
      <c r="P272"/>
    </row>
    <row r="273" spans="1:16" s="42" customFormat="1">
      <c r="A273" s="2"/>
      <c r="C273" s="36"/>
      <c r="D273" s="62"/>
      <c r="E273" s="2"/>
      <c r="F273" s="171"/>
      <c r="G273" s="2"/>
      <c r="H273" s="2"/>
      <c r="I273" s="2"/>
      <c r="J273" s="2"/>
      <c r="K273" s="43"/>
      <c r="L273" s="36"/>
      <c r="M273" s="5"/>
      <c r="N273" s="2"/>
      <c r="O273" s="1"/>
      <c r="P273"/>
    </row>
    <row r="274" spans="1:16" s="42" customFormat="1">
      <c r="A274" s="2"/>
      <c r="C274" s="36"/>
      <c r="D274" s="62"/>
      <c r="E274" s="2"/>
      <c r="F274" s="171"/>
      <c r="G274" s="2"/>
      <c r="H274" s="2"/>
      <c r="I274" s="2"/>
      <c r="J274" s="2"/>
      <c r="K274" s="43"/>
      <c r="L274" s="36"/>
      <c r="M274" s="5"/>
      <c r="N274" s="2"/>
      <c r="O274" s="1"/>
      <c r="P274"/>
    </row>
    <row r="275" spans="1:16" s="42" customFormat="1">
      <c r="A275" s="2"/>
      <c r="C275" s="36"/>
      <c r="D275" s="62"/>
      <c r="E275" s="2"/>
      <c r="F275" s="171"/>
      <c r="G275" s="2"/>
      <c r="H275" s="2"/>
      <c r="I275" s="2"/>
      <c r="J275" s="2"/>
      <c r="K275" s="43"/>
      <c r="L275" s="36"/>
      <c r="M275" s="5"/>
      <c r="N275" s="2"/>
      <c r="O275" s="1"/>
      <c r="P275"/>
    </row>
    <row r="276" spans="1:16" s="42" customFormat="1">
      <c r="A276" s="2"/>
      <c r="C276" s="36"/>
      <c r="D276" s="62"/>
      <c r="E276" s="2"/>
      <c r="F276" s="171"/>
      <c r="G276" s="2"/>
      <c r="H276" s="2"/>
      <c r="I276" s="2"/>
      <c r="J276" s="2"/>
      <c r="K276" s="43"/>
      <c r="L276" s="36"/>
      <c r="M276" s="5"/>
      <c r="N276" s="2"/>
      <c r="O276" s="1"/>
      <c r="P276"/>
    </row>
    <row r="277" spans="1:16" s="42" customFormat="1">
      <c r="A277" s="2"/>
      <c r="C277" s="36"/>
      <c r="D277" s="62"/>
      <c r="E277" s="2"/>
      <c r="F277" s="171"/>
      <c r="G277" s="2"/>
      <c r="H277" s="2"/>
      <c r="I277" s="2"/>
      <c r="J277" s="2"/>
      <c r="K277" s="43"/>
      <c r="L277" s="36"/>
      <c r="M277" s="5"/>
      <c r="N277" s="2"/>
      <c r="O277" s="1"/>
      <c r="P277"/>
    </row>
    <row r="278" spans="1:16" s="42" customFormat="1">
      <c r="A278" s="2"/>
      <c r="C278" s="36"/>
      <c r="D278" s="62"/>
      <c r="E278" s="2"/>
      <c r="F278" s="171"/>
      <c r="G278" s="2"/>
      <c r="H278" s="2"/>
      <c r="I278" s="2"/>
      <c r="J278" s="2"/>
      <c r="K278" s="43"/>
      <c r="L278" s="36"/>
      <c r="M278" s="5"/>
      <c r="N278" s="2"/>
      <c r="O278" s="1"/>
      <c r="P278"/>
    </row>
    <row r="279" spans="1:16" s="42" customFormat="1">
      <c r="A279" s="2"/>
      <c r="C279" s="36"/>
      <c r="D279" s="62"/>
      <c r="E279" s="2"/>
      <c r="F279" s="171"/>
      <c r="G279" s="2"/>
      <c r="H279" s="2"/>
      <c r="I279" s="2"/>
      <c r="J279" s="2"/>
      <c r="K279" s="43"/>
      <c r="L279" s="36"/>
      <c r="M279" s="5"/>
      <c r="N279" s="2"/>
      <c r="O279" s="1"/>
      <c r="P279"/>
    </row>
    <row r="280" spans="1:16" s="42" customFormat="1">
      <c r="A280" s="2"/>
      <c r="C280" s="36"/>
      <c r="D280" s="62"/>
      <c r="E280" s="2"/>
      <c r="F280" s="171"/>
      <c r="G280" s="2"/>
      <c r="H280" s="2"/>
      <c r="I280" s="2"/>
      <c r="J280" s="2"/>
      <c r="K280" s="43"/>
      <c r="L280" s="36"/>
      <c r="M280" s="5"/>
      <c r="N280" s="2"/>
      <c r="O280" s="1"/>
      <c r="P280"/>
    </row>
    <row r="281" spans="1:16" s="42" customFormat="1">
      <c r="A281" s="2"/>
      <c r="C281" s="36"/>
      <c r="D281" s="62"/>
      <c r="E281" s="2"/>
      <c r="F281" s="171"/>
      <c r="G281" s="2"/>
      <c r="H281" s="2"/>
      <c r="I281" s="2"/>
      <c r="J281" s="2"/>
      <c r="K281" s="43"/>
      <c r="L281" s="36"/>
      <c r="M281" s="5"/>
      <c r="N281" s="2"/>
      <c r="O281" s="1"/>
      <c r="P281"/>
    </row>
    <row r="282" spans="1:16" s="42" customFormat="1">
      <c r="A282" s="2"/>
      <c r="C282" s="36"/>
      <c r="D282" s="62"/>
      <c r="E282" s="2"/>
      <c r="F282" s="171"/>
      <c r="G282" s="2"/>
      <c r="H282" s="2"/>
      <c r="I282" s="2"/>
      <c r="J282" s="2"/>
      <c r="K282" s="43"/>
      <c r="L282" s="36"/>
      <c r="M282" s="5"/>
      <c r="N282" s="2"/>
      <c r="O282" s="1"/>
      <c r="P282"/>
    </row>
    <row r="283" spans="1:16" s="42" customFormat="1">
      <c r="A283" s="2"/>
      <c r="C283" s="36"/>
      <c r="D283" s="62"/>
      <c r="E283" s="2"/>
      <c r="F283" s="171"/>
      <c r="G283" s="2"/>
      <c r="H283" s="2"/>
      <c r="I283" s="2"/>
      <c r="J283" s="2"/>
      <c r="K283" s="43"/>
      <c r="L283" s="36"/>
      <c r="M283" s="5"/>
      <c r="N283" s="2"/>
      <c r="O283" s="1"/>
      <c r="P283"/>
    </row>
    <row r="284" spans="1:16" s="42" customFormat="1">
      <c r="A284" s="2"/>
      <c r="C284" s="36"/>
      <c r="D284" s="62"/>
      <c r="E284" s="2"/>
      <c r="F284" s="171"/>
      <c r="G284" s="2"/>
      <c r="H284" s="2"/>
      <c r="I284" s="2"/>
      <c r="J284" s="2"/>
      <c r="K284" s="43"/>
      <c r="L284" s="36"/>
      <c r="M284" s="5"/>
      <c r="N284" s="2"/>
      <c r="O284" s="1"/>
      <c r="P284"/>
    </row>
    <row r="285" spans="1:16" s="42" customFormat="1">
      <c r="A285" s="2"/>
      <c r="C285" s="36"/>
      <c r="D285" s="62"/>
      <c r="E285" s="2"/>
      <c r="F285" s="171"/>
      <c r="G285" s="2"/>
      <c r="H285" s="2"/>
      <c r="I285" s="2"/>
      <c r="J285" s="2"/>
      <c r="K285" s="43"/>
      <c r="L285" s="36"/>
      <c r="M285" s="5"/>
      <c r="N285" s="2"/>
      <c r="O285" s="1"/>
      <c r="P285"/>
    </row>
    <row r="286" spans="1:16" s="42" customFormat="1">
      <c r="A286" s="2"/>
      <c r="C286" s="36"/>
      <c r="D286" s="62"/>
      <c r="E286" s="2"/>
      <c r="F286" s="171"/>
      <c r="G286" s="2"/>
      <c r="H286" s="2"/>
      <c r="I286" s="2"/>
      <c r="J286" s="2"/>
      <c r="K286" s="43"/>
      <c r="L286" s="36"/>
      <c r="M286" s="5"/>
      <c r="N286" s="2"/>
      <c r="O286" s="1"/>
      <c r="P286"/>
    </row>
    <row r="287" spans="1:16" s="42" customFormat="1">
      <c r="A287" s="2"/>
      <c r="C287" s="36"/>
      <c r="D287" s="62"/>
      <c r="E287" s="2"/>
      <c r="F287" s="171"/>
      <c r="G287" s="2"/>
      <c r="H287" s="2"/>
      <c r="I287" s="2"/>
      <c r="J287" s="2"/>
      <c r="K287" s="43"/>
      <c r="L287" s="36"/>
      <c r="M287" s="5"/>
      <c r="N287" s="2"/>
      <c r="O287" s="1"/>
      <c r="P287"/>
    </row>
    <row r="288" spans="1:16" s="42" customFormat="1">
      <c r="A288" s="2"/>
      <c r="C288" s="36"/>
      <c r="D288" s="62"/>
      <c r="E288" s="2"/>
      <c r="F288" s="171"/>
      <c r="G288" s="2"/>
      <c r="H288" s="2"/>
      <c r="I288" s="2"/>
      <c r="J288" s="2"/>
      <c r="K288" s="43"/>
      <c r="L288" s="36"/>
      <c r="M288" s="5"/>
      <c r="N288" s="2"/>
      <c r="O288" s="1"/>
      <c r="P288"/>
    </row>
    <row r="289" spans="1:16" s="42" customFormat="1">
      <c r="A289" s="2"/>
      <c r="C289" s="36"/>
      <c r="D289" s="62"/>
      <c r="E289" s="2"/>
      <c r="F289" s="171"/>
      <c r="G289" s="2"/>
      <c r="H289" s="2"/>
      <c r="I289" s="2"/>
      <c r="J289" s="2"/>
      <c r="K289" s="43"/>
      <c r="L289" s="36"/>
      <c r="M289" s="5"/>
      <c r="N289" s="2"/>
      <c r="O289" s="1"/>
      <c r="P289"/>
    </row>
    <row r="290" spans="1:16" s="42" customFormat="1">
      <c r="A290" s="2"/>
      <c r="C290" s="36"/>
      <c r="D290" s="62"/>
      <c r="E290" s="2"/>
      <c r="F290" s="171"/>
      <c r="G290" s="2"/>
      <c r="H290" s="2"/>
      <c r="I290" s="2"/>
      <c r="J290" s="2"/>
      <c r="K290" s="43"/>
      <c r="L290" s="36"/>
      <c r="M290" s="5"/>
      <c r="N290" s="2"/>
      <c r="O290" s="1"/>
      <c r="P290"/>
    </row>
    <row r="291" spans="1:16" s="42" customFormat="1">
      <c r="A291" s="2"/>
      <c r="C291" s="36"/>
      <c r="D291" s="62"/>
      <c r="E291" s="2"/>
      <c r="F291" s="171"/>
      <c r="G291" s="2"/>
      <c r="H291" s="2"/>
      <c r="I291" s="2"/>
      <c r="J291" s="2"/>
      <c r="K291" s="43"/>
      <c r="L291" s="36"/>
      <c r="M291" s="5"/>
      <c r="N291" s="2"/>
      <c r="O291" s="1"/>
      <c r="P291"/>
    </row>
    <row r="292" spans="1:16" s="42" customFormat="1">
      <c r="A292" s="2"/>
      <c r="C292" s="36"/>
      <c r="D292" s="62"/>
      <c r="E292" s="2"/>
      <c r="F292" s="171"/>
      <c r="G292" s="2"/>
      <c r="H292" s="2"/>
      <c r="I292" s="2"/>
      <c r="J292" s="2"/>
      <c r="K292" s="43"/>
      <c r="L292" s="36"/>
      <c r="M292" s="5"/>
      <c r="N292" s="2"/>
      <c r="O292" s="1"/>
      <c r="P292"/>
    </row>
    <row r="293" spans="1:16" s="42" customFormat="1">
      <c r="A293" s="2"/>
      <c r="C293" s="36"/>
      <c r="D293" s="62"/>
      <c r="E293" s="2"/>
      <c r="F293" s="171"/>
      <c r="G293" s="2"/>
      <c r="H293" s="2"/>
      <c r="I293" s="2"/>
      <c r="J293" s="2"/>
      <c r="K293" s="43"/>
      <c r="L293" s="36"/>
      <c r="M293" s="5"/>
      <c r="N293" s="2"/>
      <c r="O293" s="1"/>
      <c r="P293"/>
    </row>
    <row r="294" spans="1:16" s="42" customFormat="1">
      <c r="A294" s="2"/>
      <c r="C294" s="36"/>
      <c r="D294" s="62"/>
      <c r="E294" s="2"/>
      <c r="F294" s="171"/>
      <c r="G294" s="2"/>
      <c r="H294" s="2"/>
      <c r="I294" s="2"/>
      <c r="J294" s="2"/>
      <c r="K294" s="43"/>
      <c r="L294" s="36"/>
      <c r="M294" s="5"/>
      <c r="N294" s="2"/>
      <c r="O294" s="1"/>
      <c r="P294"/>
    </row>
    <row r="295" spans="1:16" s="42" customFormat="1">
      <c r="A295" s="2"/>
      <c r="C295" s="36"/>
      <c r="D295" s="62"/>
      <c r="E295" s="2"/>
      <c r="F295" s="171"/>
      <c r="G295" s="2"/>
      <c r="H295" s="2"/>
      <c r="I295" s="2"/>
      <c r="J295" s="2"/>
      <c r="K295" s="43"/>
      <c r="L295" s="36"/>
      <c r="M295" s="5"/>
      <c r="N295" s="2"/>
      <c r="O295" s="1"/>
      <c r="P295"/>
    </row>
    <row r="296" spans="1:16" s="42" customFormat="1">
      <c r="A296" s="2"/>
      <c r="C296" s="36"/>
      <c r="D296" s="62"/>
      <c r="E296" s="2"/>
      <c r="F296" s="171"/>
      <c r="G296" s="2"/>
      <c r="H296" s="2"/>
      <c r="I296" s="2"/>
      <c r="J296" s="2"/>
      <c r="K296" s="43"/>
      <c r="L296" s="36"/>
      <c r="M296" s="5"/>
      <c r="N296" s="2"/>
      <c r="O296" s="1"/>
      <c r="P296"/>
    </row>
    <row r="297" spans="1:16" s="42" customFormat="1">
      <c r="A297" s="2"/>
      <c r="C297" s="36"/>
      <c r="D297" s="62"/>
      <c r="E297" s="2"/>
      <c r="F297" s="171"/>
      <c r="G297" s="2"/>
      <c r="H297" s="2"/>
      <c r="I297" s="2"/>
      <c r="J297" s="2"/>
      <c r="K297" s="43"/>
      <c r="L297" s="36"/>
      <c r="M297" s="5"/>
      <c r="N297" s="2"/>
      <c r="O297" s="1"/>
      <c r="P297"/>
    </row>
    <row r="298" spans="1:16" s="42" customFormat="1">
      <c r="A298" s="2"/>
      <c r="C298" s="36"/>
      <c r="D298" s="62"/>
      <c r="E298" s="2"/>
      <c r="F298" s="171"/>
      <c r="G298" s="2"/>
      <c r="H298" s="2"/>
      <c r="I298" s="2"/>
      <c r="J298" s="2"/>
      <c r="K298" s="43"/>
      <c r="L298" s="36"/>
      <c r="M298" s="5"/>
      <c r="N298" s="2"/>
      <c r="O298" s="1"/>
      <c r="P298"/>
    </row>
    <row r="299" spans="1:16" s="42" customFormat="1">
      <c r="A299" s="2"/>
      <c r="C299" s="36"/>
      <c r="D299" s="62"/>
      <c r="E299" s="2"/>
      <c r="F299" s="171"/>
      <c r="G299" s="2"/>
      <c r="H299" s="2"/>
      <c r="I299" s="2"/>
      <c r="J299" s="2"/>
      <c r="K299" s="43"/>
      <c r="L299" s="36"/>
      <c r="M299" s="5"/>
      <c r="N299" s="2"/>
      <c r="O299" s="1"/>
      <c r="P299"/>
    </row>
    <row r="300" spans="1:16" s="42" customFormat="1">
      <c r="A300" s="2"/>
      <c r="C300" s="36"/>
      <c r="D300" s="62"/>
      <c r="E300" s="2"/>
      <c r="F300" s="171"/>
      <c r="G300" s="2"/>
      <c r="H300" s="2"/>
      <c r="I300" s="2"/>
      <c r="J300" s="2"/>
      <c r="K300" s="43"/>
      <c r="L300" s="36"/>
      <c r="M300" s="5"/>
      <c r="N300" s="2"/>
      <c r="O300" s="1"/>
      <c r="P300"/>
    </row>
    <row r="301" spans="1:16" s="42" customFormat="1">
      <c r="A301" s="2"/>
      <c r="C301" s="36"/>
      <c r="D301" s="62"/>
      <c r="E301" s="2"/>
      <c r="F301" s="171"/>
      <c r="G301" s="2"/>
      <c r="H301" s="2"/>
      <c r="I301" s="2"/>
      <c r="J301" s="2"/>
      <c r="K301" s="43"/>
      <c r="L301" s="36"/>
      <c r="M301" s="5"/>
      <c r="N301" s="2"/>
      <c r="O301" s="1"/>
      <c r="P301"/>
    </row>
    <row r="302" spans="1:16" s="42" customFormat="1">
      <c r="A302" s="2"/>
      <c r="C302" s="36"/>
      <c r="D302" s="62"/>
      <c r="E302" s="2"/>
      <c r="F302" s="171"/>
      <c r="G302" s="2"/>
      <c r="H302" s="2"/>
      <c r="I302" s="2"/>
      <c r="J302" s="2"/>
      <c r="K302" s="43"/>
      <c r="L302" s="36"/>
      <c r="M302" s="5"/>
      <c r="N302" s="2"/>
      <c r="O302" s="1"/>
      <c r="P302"/>
    </row>
    <row r="303" spans="1:16" s="42" customFormat="1">
      <c r="A303" s="2"/>
      <c r="C303" s="36"/>
      <c r="D303" s="62"/>
      <c r="E303" s="2"/>
      <c r="F303" s="171"/>
      <c r="G303" s="2"/>
      <c r="H303" s="2"/>
      <c r="I303" s="2"/>
      <c r="J303" s="2"/>
      <c r="K303" s="43"/>
      <c r="L303" s="36"/>
      <c r="M303" s="5"/>
      <c r="N303" s="2"/>
      <c r="O303" s="1"/>
      <c r="P303"/>
    </row>
    <row r="304" spans="1:16" s="42" customFormat="1">
      <c r="A304" s="2"/>
      <c r="C304" s="36"/>
      <c r="D304" s="62"/>
      <c r="E304" s="2"/>
      <c r="F304" s="171"/>
      <c r="G304" s="2"/>
      <c r="H304" s="2"/>
      <c r="I304" s="2"/>
      <c r="J304" s="2"/>
      <c r="K304" s="43"/>
      <c r="L304" s="36"/>
      <c r="M304" s="5"/>
      <c r="N304" s="2"/>
      <c r="O304" s="1"/>
      <c r="P304"/>
    </row>
    <row r="305" spans="1:16" s="42" customFormat="1">
      <c r="A305" s="2"/>
      <c r="C305" s="36"/>
      <c r="D305" s="62"/>
      <c r="E305" s="2"/>
      <c r="F305" s="171"/>
      <c r="G305" s="2"/>
      <c r="H305" s="2"/>
      <c r="I305" s="2"/>
      <c r="J305" s="2"/>
      <c r="K305" s="43"/>
      <c r="L305" s="36"/>
      <c r="M305" s="5"/>
      <c r="N305" s="2"/>
      <c r="O305" s="1"/>
      <c r="P305"/>
    </row>
    <row r="306" spans="1:16" s="42" customFormat="1">
      <c r="A306" s="2"/>
      <c r="C306" s="36"/>
      <c r="D306" s="62"/>
      <c r="E306" s="2"/>
      <c r="F306" s="171"/>
      <c r="G306" s="2"/>
      <c r="H306" s="2"/>
      <c r="I306" s="2"/>
      <c r="J306" s="2"/>
      <c r="K306" s="43"/>
      <c r="L306" s="36"/>
      <c r="M306" s="5"/>
      <c r="N306" s="2"/>
      <c r="O306" s="1"/>
      <c r="P306"/>
    </row>
    <row r="307" spans="1:16" s="42" customFormat="1">
      <c r="A307" s="2"/>
      <c r="C307" s="36"/>
      <c r="D307" s="62"/>
      <c r="E307" s="2"/>
      <c r="F307" s="171"/>
      <c r="G307" s="2"/>
      <c r="H307" s="2"/>
      <c r="I307" s="2"/>
      <c r="J307" s="2"/>
      <c r="K307" s="43"/>
      <c r="L307" s="36"/>
      <c r="M307" s="5"/>
      <c r="N307" s="2"/>
      <c r="O307" s="1"/>
      <c r="P307"/>
    </row>
    <row r="308" spans="1:16" s="42" customFormat="1">
      <c r="A308" s="2"/>
      <c r="C308" s="36"/>
      <c r="D308" s="62"/>
      <c r="E308" s="2"/>
      <c r="F308" s="171"/>
      <c r="G308" s="2"/>
      <c r="H308" s="2"/>
      <c r="I308" s="2"/>
      <c r="J308" s="2"/>
      <c r="K308" s="43"/>
      <c r="L308" s="36"/>
      <c r="M308" s="5"/>
      <c r="N308" s="2"/>
      <c r="O308" s="1"/>
      <c r="P308"/>
    </row>
    <row r="309" spans="1:16" s="42" customFormat="1">
      <c r="A309" s="2"/>
      <c r="C309" s="36"/>
      <c r="D309" s="62"/>
      <c r="E309" s="2"/>
      <c r="F309" s="171"/>
      <c r="G309" s="2"/>
      <c r="H309" s="2"/>
      <c r="I309" s="2"/>
      <c r="J309" s="2"/>
      <c r="K309" s="43"/>
      <c r="L309" s="36"/>
      <c r="M309" s="5"/>
      <c r="N309" s="2"/>
      <c r="O309" s="1"/>
      <c r="P309"/>
    </row>
    <row r="310" spans="1:16" s="42" customFormat="1">
      <c r="A310" s="2"/>
      <c r="C310" s="36"/>
      <c r="D310" s="62"/>
      <c r="E310" s="2"/>
      <c r="F310" s="171"/>
      <c r="G310" s="2"/>
      <c r="H310" s="2"/>
      <c r="I310" s="2"/>
      <c r="J310" s="2"/>
      <c r="K310" s="43"/>
      <c r="L310" s="36"/>
      <c r="M310" s="5"/>
      <c r="N310" s="2"/>
      <c r="O310" s="1"/>
      <c r="P310"/>
    </row>
    <row r="311" spans="1:16" s="42" customFormat="1">
      <c r="A311" s="2"/>
      <c r="C311" s="36"/>
      <c r="D311" s="62"/>
      <c r="E311" s="2"/>
      <c r="F311" s="171"/>
      <c r="G311" s="2"/>
      <c r="H311" s="2"/>
      <c r="I311" s="2"/>
      <c r="J311" s="2"/>
      <c r="K311" s="43"/>
      <c r="L311" s="36"/>
      <c r="M311" s="5"/>
      <c r="N311" s="2"/>
      <c r="O311" s="1"/>
      <c r="P311"/>
    </row>
    <row r="312" spans="1:16" s="42" customFormat="1">
      <c r="A312" s="2"/>
      <c r="C312" s="36"/>
      <c r="D312" s="62"/>
      <c r="E312" s="2"/>
      <c r="F312" s="171"/>
      <c r="G312" s="2"/>
      <c r="H312" s="2"/>
      <c r="I312" s="2"/>
      <c r="J312" s="2"/>
      <c r="K312" s="43"/>
      <c r="L312" s="36"/>
      <c r="M312" s="5"/>
      <c r="N312" s="2"/>
      <c r="O312" s="1"/>
      <c r="P312"/>
    </row>
    <row r="313" spans="1:16" s="42" customFormat="1">
      <c r="A313" s="2"/>
      <c r="C313" s="36"/>
      <c r="D313" s="62"/>
      <c r="E313" s="2"/>
      <c r="F313" s="171"/>
      <c r="G313" s="2"/>
      <c r="H313" s="2"/>
      <c r="I313" s="2"/>
      <c r="J313" s="2"/>
      <c r="K313" s="43"/>
      <c r="L313" s="36"/>
      <c r="M313" s="5"/>
      <c r="N313" s="2"/>
      <c r="O313" s="1"/>
      <c r="P313"/>
    </row>
    <row r="314" spans="1:16" s="42" customFormat="1">
      <c r="A314" s="2"/>
      <c r="C314" s="36"/>
      <c r="D314" s="62"/>
      <c r="E314" s="2"/>
      <c r="F314" s="171"/>
      <c r="G314" s="2"/>
      <c r="H314" s="2"/>
      <c r="I314" s="2"/>
      <c r="J314" s="2"/>
      <c r="K314" s="43"/>
      <c r="L314" s="36"/>
      <c r="M314" s="5"/>
      <c r="N314" s="2"/>
      <c r="O314" s="1"/>
      <c r="P314"/>
    </row>
    <row r="315" spans="1:16" s="42" customFormat="1">
      <c r="A315" s="2"/>
      <c r="C315" s="36"/>
      <c r="D315" s="62"/>
      <c r="E315" s="2"/>
      <c r="F315" s="171"/>
      <c r="G315" s="2"/>
      <c r="H315" s="2"/>
      <c r="I315" s="2"/>
      <c r="J315" s="2"/>
      <c r="K315" s="43"/>
      <c r="L315" s="36"/>
      <c r="M315" s="5"/>
      <c r="N315" s="2"/>
      <c r="O315" s="1"/>
      <c r="P315"/>
    </row>
    <row r="316" spans="1:16" s="42" customFormat="1">
      <c r="A316" s="2"/>
      <c r="C316" s="36"/>
      <c r="D316" s="62"/>
      <c r="E316" s="2"/>
      <c r="F316" s="171"/>
      <c r="G316" s="2"/>
      <c r="H316" s="2"/>
      <c r="I316" s="2"/>
      <c r="J316" s="2"/>
      <c r="K316" s="43"/>
      <c r="L316" s="36"/>
      <c r="M316" s="5"/>
      <c r="N316" s="2"/>
      <c r="O316" s="1"/>
      <c r="P316"/>
    </row>
    <row r="317" spans="1:16" s="42" customFormat="1">
      <c r="A317" s="2"/>
      <c r="C317" s="36"/>
      <c r="D317" s="62"/>
      <c r="E317" s="2"/>
      <c r="F317" s="171"/>
      <c r="G317" s="2"/>
      <c r="H317" s="2"/>
      <c r="I317" s="2"/>
      <c r="J317" s="2"/>
      <c r="K317" s="43"/>
      <c r="L317" s="36"/>
      <c r="M317" s="5"/>
      <c r="N317" s="2"/>
      <c r="O317" s="1"/>
      <c r="P317"/>
    </row>
    <row r="318" spans="1:16" s="42" customFormat="1">
      <c r="A318" s="2"/>
      <c r="C318" s="36"/>
      <c r="D318" s="62"/>
      <c r="E318" s="2"/>
      <c r="F318" s="171"/>
      <c r="G318" s="2"/>
      <c r="H318" s="2"/>
      <c r="I318" s="2"/>
      <c r="J318" s="2"/>
      <c r="K318" s="43"/>
      <c r="L318" s="36"/>
      <c r="M318" s="5"/>
      <c r="N318" s="2"/>
      <c r="O318" s="1"/>
      <c r="P318"/>
    </row>
    <row r="319" spans="1:16" s="42" customFormat="1">
      <c r="A319" s="2"/>
      <c r="C319" s="36"/>
      <c r="D319" s="62"/>
      <c r="E319" s="2"/>
      <c r="F319" s="171"/>
      <c r="G319" s="2"/>
      <c r="H319" s="2"/>
      <c r="I319" s="2"/>
      <c r="J319" s="2"/>
      <c r="K319" s="43"/>
      <c r="L319" s="36"/>
      <c r="M319" s="5"/>
      <c r="N319" s="2"/>
      <c r="O319" s="1"/>
      <c r="P319"/>
    </row>
    <row r="320" spans="1:16" s="42" customFormat="1">
      <c r="A320" s="2"/>
      <c r="C320" s="36"/>
      <c r="D320" s="62"/>
      <c r="E320" s="2"/>
      <c r="F320" s="171"/>
      <c r="G320" s="2"/>
      <c r="H320" s="2"/>
      <c r="I320" s="2"/>
      <c r="J320" s="2"/>
      <c r="K320" s="43"/>
      <c r="L320" s="36"/>
      <c r="M320" s="5"/>
      <c r="N320" s="2"/>
      <c r="O320" s="1"/>
      <c r="P320"/>
    </row>
    <row r="321" spans="1:16" s="42" customFormat="1">
      <c r="A321" s="2"/>
      <c r="C321" s="36"/>
      <c r="D321" s="62"/>
      <c r="E321" s="2"/>
      <c r="F321" s="171"/>
      <c r="G321" s="2"/>
      <c r="H321" s="2"/>
      <c r="I321" s="2"/>
      <c r="J321" s="2"/>
      <c r="K321" s="43"/>
      <c r="L321" s="36"/>
      <c r="M321" s="5"/>
      <c r="N321" s="2"/>
      <c r="O321" s="1"/>
      <c r="P321"/>
    </row>
    <row r="322" spans="1:16" s="42" customFormat="1">
      <c r="A322" s="2"/>
      <c r="C322" s="36"/>
      <c r="D322" s="62"/>
      <c r="E322" s="2"/>
      <c r="F322" s="171"/>
      <c r="G322" s="2"/>
      <c r="H322" s="2"/>
      <c r="I322" s="2"/>
      <c r="J322" s="2"/>
      <c r="K322" s="43"/>
      <c r="L322" s="36"/>
      <c r="M322" s="5"/>
      <c r="N322" s="2"/>
      <c r="O322" s="1"/>
      <c r="P322"/>
    </row>
    <row r="323" spans="1:16" s="42" customFormat="1">
      <c r="A323" s="2"/>
      <c r="C323" s="36"/>
      <c r="D323" s="62"/>
      <c r="E323" s="2"/>
      <c r="F323" s="171"/>
      <c r="G323" s="2"/>
      <c r="H323" s="2"/>
      <c r="I323" s="2"/>
      <c r="J323" s="2"/>
      <c r="K323" s="43"/>
      <c r="L323" s="36"/>
      <c r="M323" s="5"/>
      <c r="N323" s="2"/>
      <c r="O323" s="1"/>
      <c r="P323"/>
    </row>
    <row r="324" spans="1:16" s="42" customFormat="1">
      <c r="A324" s="2"/>
      <c r="C324" s="36"/>
      <c r="D324" s="62"/>
      <c r="E324" s="2"/>
      <c r="F324" s="171"/>
      <c r="G324" s="2"/>
      <c r="H324" s="2"/>
      <c r="I324" s="2"/>
      <c r="J324" s="2"/>
      <c r="K324" s="43"/>
      <c r="L324" s="36"/>
      <c r="M324" s="5"/>
      <c r="N324" s="2"/>
      <c r="O324" s="1"/>
      <c r="P324"/>
    </row>
    <row r="325" spans="1:16" s="42" customFormat="1">
      <c r="A325" s="2"/>
      <c r="C325" s="36"/>
      <c r="D325" s="62"/>
      <c r="E325" s="2"/>
      <c r="F325" s="171"/>
      <c r="G325" s="2"/>
      <c r="H325" s="2"/>
      <c r="I325" s="2"/>
      <c r="J325" s="2"/>
      <c r="K325" s="43"/>
      <c r="L325" s="36"/>
      <c r="M325" s="5"/>
      <c r="N325" s="2"/>
      <c r="O325" s="1"/>
      <c r="P325"/>
    </row>
    <row r="326" spans="1:16" s="42" customFormat="1">
      <c r="A326" s="2"/>
      <c r="C326" s="36"/>
      <c r="D326" s="62"/>
      <c r="E326" s="2"/>
      <c r="F326" s="171"/>
      <c r="G326" s="2"/>
      <c r="H326" s="2"/>
      <c r="I326" s="2"/>
      <c r="J326" s="2"/>
      <c r="K326" s="43"/>
      <c r="L326" s="36"/>
      <c r="M326" s="5"/>
      <c r="N326" s="2"/>
      <c r="O326" s="1"/>
      <c r="P326"/>
    </row>
    <row r="327" spans="1:16" s="42" customFormat="1">
      <c r="A327" s="2"/>
      <c r="C327" s="36"/>
      <c r="D327" s="62"/>
      <c r="E327" s="2"/>
      <c r="F327" s="171"/>
      <c r="G327" s="2"/>
      <c r="H327" s="2"/>
      <c r="I327" s="2"/>
      <c r="J327" s="2"/>
      <c r="K327" s="43"/>
      <c r="L327" s="36"/>
      <c r="M327" s="5"/>
      <c r="N327" s="2"/>
      <c r="O327" s="1"/>
      <c r="P327"/>
    </row>
    <row r="328" spans="1:16" s="42" customFormat="1">
      <c r="A328" s="2"/>
      <c r="C328" s="36"/>
      <c r="D328" s="62"/>
      <c r="E328" s="2"/>
      <c r="F328" s="171"/>
      <c r="G328" s="2"/>
      <c r="H328" s="2"/>
      <c r="I328" s="2"/>
      <c r="J328" s="2"/>
      <c r="K328" s="43"/>
      <c r="L328" s="36"/>
      <c r="M328" s="5"/>
      <c r="N328" s="2"/>
      <c r="O328" s="1"/>
      <c r="P328"/>
    </row>
    <row r="329" spans="1:16" s="42" customFormat="1">
      <c r="A329" s="2"/>
      <c r="C329" s="36"/>
      <c r="D329" s="62"/>
      <c r="E329" s="2"/>
      <c r="F329" s="171"/>
      <c r="G329" s="2"/>
      <c r="H329" s="2"/>
      <c r="I329" s="2"/>
      <c r="J329" s="2"/>
      <c r="K329" s="43"/>
      <c r="L329" s="36"/>
      <c r="M329" s="5"/>
      <c r="N329" s="2"/>
      <c r="O329" s="1"/>
      <c r="P329"/>
    </row>
    <row r="330" spans="1:16" s="42" customFormat="1">
      <c r="A330" s="2"/>
      <c r="C330" s="36"/>
      <c r="D330" s="62"/>
      <c r="E330" s="2"/>
      <c r="F330" s="171"/>
      <c r="G330" s="2"/>
      <c r="H330" s="2"/>
      <c r="I330" s="2"/>
      <c r="J330" s="2"/>
      <c r="K330" s="43"/>
      <c r="L330" s="36"/>
      <c r="M330" s="5"/>
      <c r="N330" s="2"/>
      <c r="O330" s="1"/>
      <c r="P330"/>
    </row>
    <row r="331" spans="1:16" s="42" customFormat="1">
      <c r="A331" s="2"/>
      <c r="C331" s="36"/>
      <c r="D331" s="62"/>
      <c r="E331" s="2"/>
      <c r="F331" s="171"/>
      <c r="G331" s="2"/>
      <c r="H331" s="2"/>
      <c r="I331" s="2"/>
      <c r="J331" s="2"/>
      <c r="K331" s="43"/>
      <c r="L331" s="36"/>
      <c r="M331" s="5"/>
      <c r="N331" s="2"/>
      <c r="O331" s="1"/>
      <c r="P331"/>
    </row>
    <row r="332" spans="1:16" s="42" customFormat="1">
      <c r="A332" s="2"/>
      <c r="C332" s="36"/>
      <c r="D332" s="62"/>
      <c r="E332" s="2"/>
      <c r="F332" s="171"/>
      <c r="G332" s="2"/>
      <c r="H332" s="2"/>
      <c r="I332" s="2"/>
      <c r="J332" s="2"/>
      <c r="K332" s="43"/>
      <c r="L332" s="36"/>
      <c r="M332" s="5"/>
      <c r="N332" s="2"/>
      <c r="O332" s="1"/>
      <c r="P332"/>
    </row>
    <row r="333" spans="1:16" s="42" customFormat="1">
      <c r="A333" s="2"/>
      <c r="C333" s="36"/>
      <c r="D333" s="62"/>
      <c r="E333" s="2"/>
      <c r="F333" s="171"/>
      <c r="G333" s="2"/>
      <c r="H333" s="2"/>
      <c r="I333" s="2"/>
      <c r="J333" s="2"/>
      <c r="K333" s="43"/>
      <c r="L333" s="36"/>
      <c r="M333" s="5"/>
      <c r="N333" s="2"/>
      <c r="O333" s="1"/>
      <c r="P333"/>
    </row>
    <row r="334" spans="1:16" s="42" customFormat="1">
      <c r="A334" s="2"/>
      <c r="C334" s="36"/>
      <c r="D334" s="62"/>
      <c r="E334" s="2"/>
      <c r="F334" s="171"/>
      <c r="G334" s="2"/>
      <c r="H334" s="2"/>
      <c r="I334" s="2"/>
      <c r="J334" s="2"/>
      <c r="K334" s="43"/>
      <c r="L334" s="36"/>
      <c r="M334" s="5"/>
      <c r="N334" s="2"/>
      <c r="O334" s="1"/>
      <c r="P334"/>
    </row>
    <row r="335" spans="1:16" s="42" customFormat="1">
      <c r="A335" s="2"/>
      <c r="C335" s="36"/>
      <c r="D335" s="62"/>
      <c r="E335" s="2"/>
      <c r="F335" s="171"/>
      <c r="G335" s="2"/>
      <c r="H335" s="2"/>
      <c r="I335" s="2"/>
      <c r="J335" s="2"/>
      <c r="K335" s="43"/>
      <c r="L335" s="36"/>
      <c r="M335" s="5"/>
      <c r="N335" s="2"/>
      <c r="O335" s="1"/>
      <c r="P335"/>
    </row>
    <row r="336" spans="1:16" s="42" customFormat="1">
      <c r="A336" s="2"/>
      <c r="C336" s="36"/>
      <c r="D336" s="62"/>
      <c r="E336" s="2"/>
      <c r="F336" s="171"/>
      <c r="G336" s="2"/>
      <c r="H336" s="2"/>
      <c r="I336" s="2"/>
      <c r="J336" s="2"/>
      <c r="K336" s="43"/>
      <c r="L336" s="36"/>
      <c r="M336" s="5"/>
      <c r="N336" s="2"/>
      <c r="O336" s="1"/>
      <c r="P336"/>
    </row>
    <row r="337" spans="1:16" s="42" customFormat="1">
      <c r="A337" s="2"/>
      <c r="C337" s="36"/>
      <c r="D337" s="62"/>
      <c r="E337" s="2"/>
      <c r="F337" s="171"/>
      <c r="G337" s="2"/>
      <c r="H337" s="2"/>
      <c r="I337" s="2"/>
      <c r="J337" s="2"/>
      <c r="K337" s="43"/>
      <c r="L337" s="36"/>
      <c r="M337" s="5"/>
      <c r="N337" s="2"/>
      <c r="O337" s="1"/>
      <c r="P337"/>
    </row>
    <row r="338" spans="1:16" s="42" customFormat="1">
      <c r="A338" s="2"/>
      <c r="C338" s="36"/>
      <c r="D338" s="62"/>
      <c r="E338" s="2"/>
      <c r="F338" s="171"/>
      <c r="G338" s="2"/>
      <c r="H338" s="2"/>
      <c r="I338" s="2"/>
      <c r="J338" s="2"/>
      <c r="K338" s="43"/>
      <c r="L338" s="36"/>
      <c r="M338" s="5"/>
      <c r="N338" s="2"/>
      <c r="O338" s="1"/>
      <c r="P338"/>
    </row>
    <row r="339" spans="1:16" s="42" customFormat="1">
      <c r="A339" s="2"/>
      <c r="C339" s="36"/>
      <c r="D339" s="62"/>
      <c r="E339" s="2"/>
      <c r="F339" s="171"/>
      <c r="G339" s="2"/>
      <c r="H339" s="2"/>
      <c r="I339" s="2"/>
      <c r="J339" s="2"/>
      <c r="K339" s="43"/>
      <c r="L339" s="36"/>
      <c r="M339" s="5"/>
      <c r="N339" s="2"/>
      <c r="O339" s="1"/>
      <c r="P339"/>
    </row>
    <row r="340" spans="1:16" s="42" customFormat="1">
      <c r="A340" s="2"/>
      <c r="C340" s="36"/>
      <c r="D340" s="62"/>
      <c r="E340" s="2"/>
      <c r="F340" s="171"/>
      <c r="G340" s="2"/>
      <c r="H340" s="2"/>
      <c r="I340" s="2"/>
      <c r="J340" s="2"/>
      <c r="K340" s="43"/>
      <c r="L340" s="36"/>
      <c r="M340" s="5"/>
      <c r="N340" s="2"/>
      <c r="O340" s="1"/>
      <c r="P340"/>
    </row>
    <row r="341" spans="1:16" s="42" customFormat="1">
      <c r="A341" s="2"/>
      <c r="C341" s="36"/>
      <c r="D341" s="62"/>
      <c r="E341" s="2"/>
      <c r="F341" s="171"/>
      <c r="G341" s="2"/>
      <c r="H341" s="2"/>
      <c r="I341" s="2"/>
      <c r="J341" s="2"/>
      <c r="K341" s="43"/>
      <c r="L341" s="36"/>
      <c r="M341" s="5"/>
      <c r="N341" s="2"/>
      <c r="O341" s="1"/>
      <c r="P341"/>
    </row>
    <row r="342" spans="1:16" s="42" customFormat="1">
      <c r="A342" s="2"/>
      <c r="C342" s="36"/>
      <c r="D342" s="62"/>
      <c r="E342" s="2"/>
      <c r="F342" s="171"/>
      <c r="G342" s="2"/>
      <c r="H342" s="2"/>
      <c r="I342" s="2"/>
      <c r="J342" s="2"/>
      <c r="K342" s="43"/>
      <c r="L342" s="36"/>
      <c r="M342" s="5"/>
      <c r="N342" s="2"/>
      <c r="O342" s="1"/>
      <c r="P342"/>
    </row>
    <row r="343" spans="1:16" s="42" customFormat="1">
      <c r="A343" s="2"/>
      <c r="C343" s="36"/>
      <c r="D343" s="62"/>
      <c r="E343" s="2"/>
      <c r="F343" s="171"/>
      <c r="G343" s="2"/>
      <c r="H343" s="2"/>
      <c r="I343" s="2"/>
      <c r="J343" s="2"/>
      <c r="K343" s="43"/>
      <c r="L343" s="36"/>
      <c r="M343" s="5"/>
      <c r="N343" s="2"/>
      <c r="O343" s="1"/>
      <c r="P343"/>
    </row>
    <row r="344" spans="1:16" s="42" customFormat="1">
      <c r="A344" s="2"/>
      <c r="C344" s="36"/>
      <c r="D344" s="62"/>
      <c r="E344" s="2"/>
      <c r="F344" s="171"/>
      <c r="G344" s="2"/>
      <c r="H344" s="2"/>
      <c r="I344" s="2"/>
      <c r="J344" s="2"/>
      <c r="K344" s="43"/>
      <c r="L344" s="36"/>
      <c r="M344" s="5"/>
      <c r="N344" s="2"/>
      <c r="O344" s="1"/>
      <c r="P344"/>
    </row>
    <row r="345" spans="1:16" s="42" customFormat="1">
      <c r="A345" s="2"/>
      <c r="C345" s="36"/>
      <c r="D345" s="62"/>
      <c r="E345" s="2"/>
      <c r="F345" s="171"/>
      <c r="G345" s="2"/>
      <c r="H345" s="2"/>
      <c r="I345" s="2"/>
      <c r="J345" s="2"/>
      <c r="K345" s="43"/>
      <c r="L345" s="36"/>
      <c r="M345" s="5"/>
      <c r="N345" s="2"/>
      <c r="O345" s="1"/>
      <c r="P345"/>
    </row>
    <row r="346" spans="1:16" s="42" customFormat="1">
      <c r="A346" s="2"/>
      <c r="C346" s="36"/>
      <c r="D346" s="62"/>
      <c r="E346" s="2"/>
      <c r="F346" s="171"/>
      <c r="G346" s="2"/>
      <c r="H346" s="2"/>
      <c r="I346" s="2"/>
      <c r="J346" s="2"/>
      <c r="K346" s="43"/>
      <c r="L346" s="36"/>
      <c r="M346" s="5"/>
      <c r="N346" s="2"/>
      <c r="O346" s="1"/>
      <c r="P346"/>
    </row>
    <row r="347" spans="1:16" s="42" customFormat="1">
      <c r="A347" s="2"/>
      <c r="C347" s="36"/>
      <c r="D347" s="62"/>
      <c r="E347" s="2"/>
      <c r="F347" s="171"/>
      <c r="G347" s="2"/>
      <c r="H347" s="2"/>
      <c r="I347" s="2"/>
      <c r="J347" s="2"/>
      <c r="K347" s="43"/>
      <c r="L347" s="36"/>
      <c r="M347" s="5"/>
      <c r="N347" s="2"/>
      <c r="O347" s="1"/>
      <c r="P347"/>
    </row>
    <row r="348" spans="1:16" s="42" customFormat="1">
      <c r="A348" s="2"/>
      <c r="C348" s="36"/>
      <c r="D348" s="62"/>
      <c r="E348" s="2"/>
      <c r="F348" s="171"/>
      <c r="G348" s="2"/>
      <c r="H348" s="2"/>
      <c r="I348" s="2"/>
      <c r="J348" s="2"/>
      <c r="K348" s="43"/>
      <c r="L348" s="36"/>
      <c r="M348" s="5"/>
      <c r="N348" s="2"/>
      <c r="O348" s="1"/>
      <c r="P348"/>
    </row>
    <row r="349" spans="1:16" s="42" customFormat="1">
      <c r="A349" s="2"/>
      <c r="C349" s="36"/>
      <c r="D349" s="62"/>
      <c r="E349" s="2"/>
      <c r="F349" s="171"/>
      <c r="G349" s="2"/>
      <c r="H349" s="2"/>
      <c r="I349" s="2"/>
      <c r="J349" s="2"/>
      <c r="K349" s="43"/>
      <c r="L349" s="36"/>
      <c r="M349" s="5"/>
      <c r="N349" s="2"/>
      <c r="O349" s="1"/>
      <c r="P349"/>
    </row>
    <row r="350" spans="1:16" s="42" customFormat="1">
      <c r="A350" s="2"/>
      <c r="C350" s="36"/>
      <c r="D350" s="62"/>
      <c r="E350" s="2"/>
      <c r="F350" s="171"/>
      <c r="G350" s="2"/>
      <c r="H350" s="2"/>
      <c r="I350" s="2"/>
      <c r="J350" s="2"/>
      <c r="K350" s="43"/>
      <c r="L350" s="36"/>
      <c r="M350" s="5"/>
      <c r="N350" s="2"/>
      <c r="O350" s="1"/>
      <c r="P350"/>
    </row>
    <row r="351" spans="1:16" s="42" customFormat="1">
      <c r="A351" s="2"/>
      <c r="C351" s="36"/>
      <c r="D351" s="62"/>
      <c r="E351" s="2"/>
      <c r="F351" s="171"/>
      <c r="G351" s="2"/>
      <c r="H351" s="2"/>
      <c r="I351" s="2"/>
      <c r="J351" s="2"/>
      <c r="K351" s="43"/>
      <c r="L351" s="36"/>
      <c r="M351" s="5"/>
      <c r="N351" s="2"/>
      <c r="O351" s="1"/>
      <c r="P351"/>
    </row>
    <row r="352" spans="1:16" s="42" customFormat="1">
      <c r="A352" s="2"/>
      <c r="C352" s="36"/>
      <c r="D352" s="62"/>
      <c r="E352" s="2"/>
      <c r="F352" s="171"/>
      <c r="G352" s="2"/>
      <c r="H352" s="2"/>
      <c r="I352" s="2"/>
      <c r="J352" s="2"/>
      <c r="K352" s="43"/>
      <c r="L352" s="36"/>
      <c r="M352" s="5"/>
      <c r="N352" s="2"/>
      <c r="O352" s="1"/>
      <c r="P352"/>
    </row>
    <row r="353" spans="1:16" s="42" customFormat="1">
      <c r="A353" s="2"/>
      <c r="C353" s="36"/>
      <c r="D353" s="62"/>
      <c r="E353" s="2"/>
      <c r="F353" s="171"/>
      <c r="G353" s="2"/>
      <c r="H353" s="2"/>
      <c r="I353" s="2"/>
      <c r="J353" s="2"/>
      <c r="K353" s="43"/>
      <c r="L353" s="36"/>
      <c r="M353" s="5"/>
      <c r="N353" s="2"/>
      <c r="O353" s="1"/>
      <c r="P353"/>
    </row>
    <row r="354" spans="1:16" s="42" customFormat="1">
      <c r="A354" s="2"/>
      <c r="C354" s="36"/>
      <c r="D354" s="62"/>
      <c r="E354" s="2"/>
      <c r="F354" s="171"/>
      <c r="G354" s="2"/>
      <c r="H354" s="2"/>
      <c r="I354" s="2"/>
      <c r="J354" s="2"/>
      <c r="K354" s="43"/>
      <c r="L354" s="36"/>
      <c r="M354" s="5"/>
      <c r="N354" s="2"/>
      <c r="O354" s="1"/>
      <c r="P354"/>
    </row>
    <row r="355" spans="1:16" s="42" customFormat="1">
      <c r="A355" s="2"/>
      <c r="C355" s="36"/>
      <c r="D355" s="62"/>
      <c r="E355" s="2"/>
      <c r="F355" s="171"/>
      <c r="G355" s="2"/>
      <c r="H355" s="2"/>
      <c r="I355" s="2"/>
      <c r="J355" s="2"/>
      <c r="K355" s="43"/>
      <c r="L355" s="36"/>
      <c r="M355" s="5"/>
      <c r="N355" s="2"/>
      <c r="O355" s="1"/>
      <c r="P355"/>
    </row>
    <row r="356" spans="1:16" s="42" customFormat="1">
      <c r="A356" s="2"/>
      <c r="C356" s="36"/>
      <c r="D356" s="62"/>
      <c r="E356" s="2"/>
      <c r="F356" s="171"/>
      <c r="G356" s="2"/>
      <c r="H356" s="2"/>
      <c r="I356" s="2"/>
      <c r="J356" s="2"/>
      <c r="K356" s="43"/>
      <c r="L356" s="36"/>
      <c r="M356" s="5"/>
      <c r="N356" s="2"/>
      <c r="O356" s="1"/>
      <c r="P356"/>
    </row>
    <row r="357" spans="1:16" s="42" customFormat="1">
      <c r="A357" s="2"/>
      <c r="C357" s="36"/>
      <c r="D357" s="62"/>
      <c r="E357" s="2"/>
      <c r="F357" s="171"/>
      <c r="G357" s="2"/>
      <c r="H357" s="2"/>
      <c r="I357" s="2"/>
      <c r="J357" s="2"/>
      <c r="K357" s="43"/>
      <c r="L357" s="36"/>
      <c r="M357" s="5"/>
      <c r="N357" s="2"/>
      <c r="O357" s="1"/>
      <c r="P357"/>
    </row>
    <row r="358" spans="1:16" s="42" customFormat="1">
      <c r="A358" s="2"/>
      <c r="C358" s="36"/>
      <c r="D358" s="62"/>
      <c r="E358" s="2"/>
      <c r="F358" s="171"/>
      <c r="G358" s="2"/>
      <c r="H358" s="2"/>
      <c r="I358" s="2"/>
      <c r="J358" s="2"/>
      <c r="K358" s="43"/>
      <c r="L358" s="36"/>
      <c r="M358" s="5"/>
      <c r="N358" s="2"/>
      <c r="O358" s="1"/>
      <c r="P358"/>
    </row>
    <row r="359" spans="1:16" s="42" customFormat="1">
      <c r="A359" s="2"/>
      <c r="C359" s="36"/>
      <c r="D359" s="62"/>
      <c r="E359" s="2"/>
      <c r="F359" s="171"/>
      <c r="G359" s="2"/>
      <c r="H359" s="2"/>
      <c r="I359" s="2"/>
      <c r="J359" s="2"/>
      <c r="K359" s="43"/>
      <c r="L359" s="36"/>
      <c r="M359" s="5"/>
      <c r="N359" s="2"/>
      <c r="O359" s="1"/>
      <c r="P359"/>
    </row>
    <row r="360" spans="1:16" s="42" customFormat="1">
      <c r="A360" s="2"/>
      <c r="C360" s="36"/>
      <c r="D360" s="62"/>
      <c r="E360" s="2"/>
      <c r="F360" s="171"/>
      <c r="G360" s="2"/>
      <c r="H360" s="2"/>
      <c r="I360" s="2"/>
      <c r="J360" s="2"/>
      <c r="K360" s="43"/>
      <c r="L360" s="36"/>
      <c r="M360" s="5"/>
      <c r="N360" s="2"/>
      <c r="O360" s="1"/>
      <c r="P360"/>
    </row>
    <row r="361" spans="1:16" s="42" customFormat="1">
      <c r="A361" s="2"/>
      <c r="C361" s="36"/>
      <c r="D361" s="62"/>
      <c r="E361" s="2"/>
      <c r="F361" s="171"/>
      <c r="G361" s="2"/>
      <c r="H361" s="2"/>
      <c r="I361" s="2"/>
      <c r="J361" s="2"/>
      <c r="K361" s="43"/>
      <c r="L361" s="36"/>
      <c r="M361" s="5"/>
      <c r="N361" s="2"/>
      <c r="O361" s="1"/>
      <c r="P361"/>
    </row>
    <row r="362" spans="1:16" s="42" customFormat="1">
      <c r="A362" s="2"/>
      <c r="C362" s="36"/>
      <c r="D362" s="62"/>
      <c r="E362" s="2"/>
      <c r="F362" s="171"/>
      <c r="G362" s="2"/>
      <c r="H362" s="2"/>
      <c r="I362" s="2"/>
      <c r="J362" s="2"/>
      <c r="K362" s="43"/>
      <c r="L362" s="36"/>
      <c r="M362" s="5"/>
      <c r="N362" s="2"/>
      <c r="O362" s="1"/>
      <c r="P362"/>
    </row>
    <row r="363" spans="1:16" s="42" customFormat="1">
      <c r="A363" s="2"/>
      <c r="C363" s="36"/>
      <c r="D363" s="62"/>
      <c r="E363" s="2"/>
      <c r="F363" s="171"/>
      <c r="G363" s="2"/>
      <c r="H363" s="2"/>
      <c r="I363" s="2"/>
      <c r="J363" s="2"/>
      <c r="K363" s="43"/>
      <c r="L363" s="36"/>
      <c r="M363" s="5"/>
      <c r="N363" s="2"/>
      <c r="O363" s="1"/>
      <c r="P363"/>
    </row>
    <row r="364" spans="1:16" s="42" customFormat="1">
      <c r="A364" s="2"/>
      <c r="C364" s="36"/>
      <c r="D364" s="62"/>
      <c r="E364" s="2"/>
      <c r="F364" s="171"/>
      <c r="G364" s="2"/>
      <c r="H364" s="2"/>
      <c r="I364" s="2"/>
      <c r="J364" s="2"/>
      <c r="K364" s="43"/>
      <c r="L364" s="36"/>
      <c r="M364" s="5"/>
      <c r="N364" s="2"/>
      <c r="O364" s="1"/>
      <c r="P364"/>
    </row>
    <row r="365" spans="1:16" s="42" customFormat="1">
      <c r="A365" s="2"/>
      <c r="C365" s="36"/>
      <c r="D365" s="62"/>
      <c r="E365" s="2"/>
      <c r="F365" s="171"/>
      <c r="G365" s="2"/>
      <c r="H365" s="2"/>
      <c r="I365" s="2"/>
      <c r="J365" s="2"/>
      <c r="K365" s="43"/>
      <c r="L365" s="36"/>
      <c r="M365" s="5"/>
      <c r="N365" s="2"/>
      <c r="O365" s="1"/>
      <c r="P36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1C14-E5A5-423B-93F8-E3993D939B56}">
  <sheetPr>
    <tabColor rgb="FFFFFF00"/>
  </sheetPr>
  <dimension ref="A1:BD407"/>
  <sheetViews>
    <sheetView tabSelected="1" workbookViewId="0">
      <pane ySplit="2" topLeftCell="A3" activePane="bottomLeft" state="frozen"/>
      <selection pane="bottomLeft"/>
    </sheetView>
  </sheetViews>
  <sheetFormatPr defaultRowHeight="14.25"/>
  <cols>
    <col min="1" max="1" width="10.265625" style="2" customWidth="1"/>
    <col min="2" max="2" width="8.46484375" style="42" customWidth="1"/>
    <col min="3" max="3" width="9.59765625" style="36" customWidth="1"/>
    <col min="4" max="4" width="7.06640625" style="62" customWidth="1"/>
    <col min="5" max="5" width="6.796875" style="2" customWidth="1"/>
    <col min="6" max="6" width="11.06640625" style="95" customWidth="1"/>
    <col min="7" max="7" width="8.265625" style="13" customWidth="1"/>
    <col min="8" max="8" width="7" style="2" customWidth="1"/>
    <col min="9" max="9" width="7.59765625" style="2" customWidth="1"/>
    <col min="10" max="10" width="6.53125" style="2" customWidth="1"/>
    <col min="11" max="11" width="5.46484375" style="12" customWidth="1"/>
    <col min="12" max="12" width="5.59765625" style="13" customWidth="1"/>
    <col min="13" max="13" width="5" style="2" customWidth="1"/>
    <col min="14" max="14" width="8.46484375" style="43" customWidth="1"/>
    <col min="15" max="15" width="10.9296875" style="36" customWidth="1"/>
    <col min="16" max="16" width="10" style="9" customWidth="1"/>
    <col min="17" max="17" width="10.06640625" style="5" customWidth="1"/>
    <col min="18" max="18" width="10.796875" style="2" customWidth="1"/>
    <col min="19" max="20" width="10.796875" customWidth="1"/>
    <col min="21" max="21" width="10.796875" style="1" customWidth="1"/>
    <col min="22" max="22" width="9.53125" bestFit="1" customWidth="1"/>
    <col min="23" max="23" width="11.796875" bestFit="1" customWidth="1"/>
    <col min="24" max="24" width="9.19921875" bestFit="1" customWidth="1"/>
    <col min="25" max="25" width="5" bestFit="1" customWidth="1"/>
    <col min="26" max="26" width="13.796875" bestFit="1" customWidth="1"/>
    <col min="27" max="28" width="22.796875" style="35" customWidth="1"/>
    <col min="29" max="40" width="22.796875" customWidth="1"/>
    <col min="41" max="41" width="4.33203125" bestFit="1" customWidth="1"/>
    <col min="42" max="42" width="3.796875" bestFit="1" customWidth="1"/>
    <col min="43" max="43" width="4.796875" bestFit="1" customWidth="1"/>
    <col min="44" max="45" width="11.796875" bestFit="1" customWidth="1"/>
    <col min="46" max="46" width="7.9296875" bestFit="1" customWidth="1"/>
    <col min="47" max="47" width="8.33203125" bestFit="1" customWidth="1"/>
    <col min="48" max="48" width="6.796875" bestFit="1" customWidth="1"/>
    <col min="49" max="49" width="11.796875" bestFit="1" customWidth="1"/>
    <col min="50" max="50" width="8" bestFit="1" customWidth="1"/>
    <col min="51" max="51" width="7.46484375" bestFit="1" customWidth="1"/>
    <col min="52" max="52" width="7.19921875" bestFit="1" customWidth="1"/>
    <col min="53" max="53" width="6.19921875" bestFit="1" customWidth="1"/>
    <col min="54" max="54" width="10.33203125" bestFit="1" customWidth="1"/>
    <col min="55" max="55" width="10.53125" bestFit="1" customWidth="1"/>
    <col min="56" max="56" width="5.796875" bestFit="1" customWidth="1"/>
    <col min="57" max="57" width="5.53125" bestFit="1" customWidth="1"/>
    <col min="58" max="58" width="11.796875" bestFit="1" customWidth="1"/>
    <col min="59" max="59" width="6.796875" bestFit="1" customWidth="1"/>
    <col min="60" max="60" width="10.59765625" bestFit="1" customWidth="1"/>
    <col min="61" max="61" width="6" bestFit="1" customWidth="1"/>
    <col min="62" max="62" width="11.796875" bestFit="1" customWidth="1"/>
    <col min="63" max="63" width="5.33203125" bestFit="1" customWidth="1"/>
    <col min="64" max="64" width="8" bestFit="1" customWidth="1"/>
    <col min="65" max="65" width="6" bestFit="1" customWidth="1"/>
    <col min="66" max="66" width="3.19921875" bestFit="1" customWidth="1"/>
    <col min="67" max="67" width="3.53125" bestFit="1" customWidth="1"/>
    <col min="68" max="68" width="7.46484375" bestFit="1" customWidth="1"/>
    <col min="69" max="69" width="7.796875" bestFit="1" customWidth="1"/>
    <col min="70" max="70" width="7.19921875" bestFit="1" customWidth="1"/>
    <col min="71" max="71" width="6.9296875" bestFit="1" customWidth="1"/>
    <col min="72" max="72" width="5.9296875" bestFit="1" customWidth="1"/>
    <col min="73" max="74" width="11.796875" bestFit="1" customWidth="1"/>
    <col min="75" max="75" width="10.53125" bestFit="1" customWidth="1"/>
    <col min="76" max="76" width="10.33203125" bestFit="1" customWidth="1"/>
    <col min="77" max="77" width="4.46484375" bestFit="1" customWidth="1"/>
    <col min="78" max="78" width="11.796875" bestFit="1" customWidth="1"/>
    <col min="79" max="79" width="13" bestFit="1" customWidth="1"/>
    <col min="80" max="80" width="11.796875" bestFit="1" customWidth="1"/>
    <col min="81" max="81" width="6.796875" bestFit="1" customWidth="1"/>
    <col min="82" max="82" width="11.796875" bestFit="1" customWidth="1"/>
  </cols>
  <sheetData>
    <row r="1" spans="1:28" ht="21">
      <c r="A1" s="224" t="s">
        <v>818</v>
      </c>
      <c r="B1" s="106"/>
      <c r="C1" s="1"/>
      <c r="D1" s="164"/>
      <c r="E1"/>
      <c r="F1" s="165"/>
      <c r="G1" s="166"/>
      <c r="H1"/>
      <c r="I1"/>
      <c r="J1"/>
      <c r="K1" s="167"/>
      <c r="L1" s="166"/>
      <c r="M1"/>
      <c r="N1" s="105"/>
      <c r="O1" s="1"/>
      <c r="P1" s="10"/>
      <c r="Q1" s="4"/>
      <c r="R1"/>
    </row>
    <row r="2" spans="1:28" ht="63.5" customHeight="1">
      <c r="A2" s="143" t="s">
        <v>5</v>
      </c>
      <c r="B2" s="144" t="s">
        <v>276</v>
      </c>
      <c r="C2" s="145" t="s">
        <v>277</v>
      </c>
      <c r="D2" s="146" t="s">
        <v>278</v>
      </c>
      <c r="E2" s="144" t="s">
        <v>291</v>
      </c>
      <c r="F2" s="147" t="s">
        <v>273</v>
      </c>
      <c r="G2" s="148" t="s">
        <v>279</v>
      </c>
      <c r="H2" s="144" t="s">
        <v>280</v>
      </c>
      <c r="I2" s="144" t="s">
        <v>281</v>
      </c>
      <c r="J2" s="144" t="s">
        <v>282</v>
      </c>
      <c r="K2" s="149" t="s">
        <v>274</v>
      </c>
      <c r="L2" s="148" t="s">
        <v>283</v>
      </c>
      <c r="M2" s="144" t="s">
        <v>284</v>
      </c>
      <c r="N2" s="144" t="s">
        <v>332</v>
      </c>
      <c r="O2" s="145" t="s">
        <v>287</v>
      </c>
      <c r="P2" s="148" t="s">
        <v>285</v>
      </c>
      <c r="Q2" s="144" t="s">
        <v>286</v>
      </c>
      <c r="R2" s="144" t="s">
        <v>275</v>
      </c>
      <c r="S2" s="144" t="s">
        <v>585</v>
      </c>
      <c r="T2" s="144" t="s">
        <v>587</v>
      </c>
      <c r="U2" s="145" t="s">
        <v>586</v>
      </c>
      <c r="Z2" t="s">
        <v>5</v>
      </c>
      <c r="AA2" s="35" t="s">
        <v>590</v>
      </c>
      <c r="AB2" s="35" t="s">
        <v>591</v>
      </c>
    </row>
    <row r="3" spans="1:28" ht="21" customHeight="1">
      <c r="A3" s="143">
        <v>1706</v>
      </c>
      <c r="B3" s="144">
        <v>0.45</v>
      </c>
      <c r="C3" s="145"/>
      <c r="D3" s="146"/>
      <c r="E3" s="144"/>
      <c r="F3" s="147"/>
      <c r="G3" s="148"/>
      <c r="H3" s="144">
        <v>0.7</v>
      </c>
      <c r="I3" s="144"/>
      <c r="J3" s="144"/>
      <c r="K3" s="149"/>
      <c r="L3" s="148"/>
      <c r="M3" s="144"/>
      <c r="N3" s="144">
        <v>2</v>
      </c>
      <c r="O3" s="150">
        <f>N3*0.257732</f>
        <v>0.51546400000000003</v>
      </c>
      <c r="P3" s="148"/>
      <c r="Q3" s="144"/>
      <c r="R3" s="144"/>
      <c r="S3" s="144">
        <v>1</v>
      </c>
      <c r="T3" s="144">
        <v>24.72</v>
      </c>
      <c r="U3" s="145"/>
      <c r="Z3">
        <v>1706</v>
      </c>
    </row>
    <row r="4" spans="1:28" ht="21" customHeight="1">
      <c r="A4" s="143">
        <v>1708</v>
      </c>
      <c r="B4" s="144">
        <v>0.45</v>
      </c>
      <c r="C4" s="145"/>
      <c r="D4" s="146"/>
      <c r="E4" s="144">
        <v>0.27</v>
      </c>
      <c r="F4" s="147"/>
      <c r="G4" s="148"/>
      <c r="H4" s="144">
        <v>0.7</v>
      </c>
      <c r="I4" s="144"/>
      <c r="J4" s="144"/>
      <c r="K4" s="149"/>
      <c r="L4" s="148"/>
      <c r="M4" s="144"/>
      <c r="N4" s="144">
        <v>2</v>
      </c>
      <c r="O4" s="150">
        <f>N4*0.257732</f>
        <v>0.51546400000000003</v>
      </c>
      <c r="P4" s="148"/>
      <c r="Q4" s="144"/>
      <c r="R4" s="144"/>
      <c r="S4" s="144">
        <v>1</v>
      </c>
      <c r="T4" s="144">
        <v>24.72</v>
      </c>
      <c r="U4" s="145"/>
      <c r="Z4">
        <v>1708</v>
      </c>
    </row>
    <row r="5" spans="1:28" ht="21" customHeight="1">
      <c r="A5" s="143">
        <v>1718</v>
      </c>
      <c r="B5" s="144">
        <v>1.29</v>
      </c>
      <c r="C5" s="151">
        <v>0.02</v>
      </c>
      <c r="D5" s="146">
        <v>4.6249999999999999E-2</v>
      </c>
      <c r="E5" s="144">
        <v>0.24</v>
      </c>
      <c r="F5" s="152">
        <f>2.110043*B5+12.19512*C5+12.19512*D5+E5*0.42735</f>
        <v>3.6324461700000001</v>
      </c>
      <c r="G5" s="148"/>
      <c r="H5" s="144">
        <v>1.0900000000000001</v>
      </c>
      <c r="I5" s="144">
        <v>0.02</v>
      </c>
      <c r="J5" s="153">
        <f>0.02*1.34/0.03</f>
        <v>0.89333333333333342</v>
      </c>
      <c r="K5" s="154">
        <f>H5*0.15873+I5*7.042254+J5*0.079365</f>
        <v>0.38476018000000006</v>
      </c>
      <c r="L5" s="148"/>
      <c r="M5" s="144"/>
      <c r="N5" s="144">
        <v>2.0550000000000002</v>
      </c>
      <c r="O5" s="150">
        <f>N5*0.257732</f>
        <v>0.52963926000000006</v>
      </c>
      <c r="P5" s="148"/>
      <c r="Q5" s="115">
        <f>(F5+K5+O5)*0.05</f>
        <v>0.22734228050000002</v>
      </c>
      <c r="R5" s="115">
        <f>F5+K5+O5+Q5</f>
        <v>4.7741878905000004</v>
      </c>
      <c r="S5" s="115">
        <v>1</v>
      </c>
      <c r="T5" s="115">
        <v>20.59</v>
      </c>
      <c r="U5" s="150">
        <f>R5*S5*T5</f>
        <v>98.300528665395007</v>
      </c>
      <c r="Z5">
        <v>1718</v>
      </c>
      <c r="AA5" s="35">
        <v>4.7741878905000004</v>
      </c>
      <c r="AB5" s="35">
        <v>0.98300528665395004</v>
      </c>
    </row>
    <row r="6" spans="1:28" ht="23.55" customHeight="1">
      <c r="A6" s="143">
        <v>1725</v>
      </c>
      <c r="B6" s="144">
        <f>((0.03+0.04)/2)*8</f>
        <v>0.28000000000000003</v>
      </c>
      <c r="C6" s="145"/>
      <c r="D6" s="146">
        <v>6.875E-3</v>
      </c>
      <c r="E6" s="144">
        <v>0.24</v>
      </c>
      <c r="F6" s="147"/>
      <c r="G6" s="148"/>
      <c r="H6" s="144"/>
      <c r="I6" s="144">
        <v>0.02</v>
      </c>
      <c r="J6" s="144"/>
      <c r="K6" s="149"/>
      <c r="L6" s="148"/>
      <c r="M6" s="144"/>
      <c r="N6" s="144"/>
      <c r="O6" s="145"/>
      <c r="P6" s="148"/>
      <c r="Q6" s="144"/>
      <c r="R6" s="144"/>
      <c r="S6" s="144">
        <v>1</v>
      </c>
      <c r="T6" s="115">
        <v>20.59</v>
      </c>
      <c r="U6" s="145"/>
      <c r="Z6">
        <v>1725</v>
      </c>
    </row>
    <row r="7" spans="1:28" ht="25.5" customHeight="1">
      <c r="A7" s="143">
        <v>1726</v>
      </c>
      <c r="B7" s="144">
        <v>0.3</v>
      </c>
      <c r="C7" s="145"/>
      <c r="D7" s="146"/>
      <c r="E7" s="144">
        <v>0.24</v>
      </c>
      <c r="F7" s="147"/>
      <c r="G7" s="148"/>
      <c r="H7" s="144"/>
      <c r="I7" s="144">
        <v>0.02</v>
      </c>
      <c r="J7" s="144"/>
      <c r="K7" s="149"/>
      <c r="L7" s="148"/>
      <c r="M7" s="144"/>
      <c r="N7" s="144"/>
      <c r="O7" s="145"/>
      <c r="P7" s="148"/>
      <c r="Q7" s="144"/>
      <c r="R7" s="144"/>
      <c r="S7" s="144">
        <v>1</v>
      </c>
      <c r="T7" s="115">
        <v>20.59</v>
      </c>
      <c r="U7" s="145"/>
      <c r="Z7">
        <v>1726</v>
      </c>
    </row>
    <row r="8" spans="1:28" ht="15" customHeight="1">
      <c r="A8" s="143">
        <v>1727</v>
      </c>
      <c r="B8" s="144"/>
      <c r="C8" s="145"/>
      <c r="D8" s="146"/>
      <c r="E8" s="144"/>
      <c r="F8" s="147"/>
      <c r="G8" s="148"/>
      <c r="H8" s="144"/>
      <c r="I8" s="144"/>
      <c r="J8" s="144"/>
      <c r="K8" s="149"/>
      <c r="L8" s="148"/>
      <c r="M8" s="144"/>
      <c r="N8" s="144"/>
      <c r="O8" s="145"/>
      <c r="P8" s="148"/>
      <c r="Q8" s="144"/>
      <c r="R8" s="144"/>
      <c r="S8" s="144">
        <v>1</v>
      </c>
      <c r="T8" s="115">
        <v>20.59</v>
      </c>
      <c r="U8" s="145"/>
      <c r="Z8">
        <v>1727</v>
      </c>
    </row>
    <row r="9" spans="1:28" ht="19.5" customHeight="1">
      <c r="A9" s="143">
        <v>1728</v>
      </c>
      <c r="B9" s="144">
        <v>0.81499999999999995</v>
      </c>
      <c r="C9" s="145">
        <v>0.02</v>
      </c>
      <c r="D9" s="146">
        <v>0.04</v>
      </c>
      <c r="E9" s="144">
        <v>0.24</v>
      </c>
      <c r="F9" s="152">
        <f>2.110043*B9+12.19512*C9+12.19512*D9+E9*0.42735</f>
        <v>2.5539562450000002</v>
      </c>
      <c r="G9" s="148"/>
      <c r="H9" s="144">
        <v>1.1724999999999999</v>
      </c>
      <c r="I9" s="144">
        <v>0.02</v>
      </c>
      <c r="J9" s="153">
        <f>0.02*(1.34/0.03)</f>
        <v>0.89333333333333342</v>
      </c>
      <c r="K9" s="154">
        <f>H9*0.15873+I9*7.042254+J9*0.079365</f>
        <v>0.397855405</v>
      </c>
      <c r="L9" s="148"/>
      <c r="M9" s="144"/>
      <c r="N9" s="153">
        <f>(N11+N12)/2</f>
        <v>3.7749999999999999</v>
      </c>
      <c r="O9" s="150">
        <f>N9*0.257732</f>
        <v>0.97293830000000003</v>
      </c>
      <c r="P9" s="148"/>
      <c r="Q9" s="115">
        <f>(F9+K9+O9)*0.05</f>
        <v>0.19623749750000002</v>
      </c>
      <c r="R9" s="115">
        <f>F9+K9+O9+Q9</f>
        <v>4.1209874475000001</v>
      </c>
      <c r="S9" s="144">
        <v>1</v>
      </c>
      <c r="T9" s="115">
        <v>20.59</v>
      </c>
      <c r="U9" s="150">
        <f>R9*S9*T9</f>
        <v>84.851131544025009</v>
      </c>
      <c r="Z9">
        <v>1728</v>
      </c>
      <c r="AA9" s="35">
        <v>4.1209874475000001</v>
      </c>
      <c r="AB9" s="35">
        <v>0.84851131544025005</v>
      </c>
    </row>
    <row r="10" spans="1:28" ht="26.55" customHeight="1">
      <c r="A10" s="143">
        <v>1729</v>
      </c>
      <c r="B10" s="144">
        <v>0.76666666666666661</v>
      </c>
      <c r="C10" s="145"/>
      <c r="D10" s="146">
        <v>3.2500000000000001E-2</v>
      </c>
      <c r="E10" s="144">
        <v>0.24</v>
      </c>
      <c r="F10" s="147"/>
      <c r="G10" s="148"/>
      <c r="H10" s="144">
        <v>1.2</v>
      </c>
      <c r="I10" s="144">
        <v>0.01</v>
      </c>
      <c r="J10" s="144"/>
      <c r="K10" s="149"/>
      <c r="L10" s="148"/>
      <c r="M10" s="144"/>
      <c r="N10" s="144"/>
      <c r="O10" s="145"/>
      <c r="P10" s="148"/>
      <c r="Q10" s="144"/>
      <c r="R10" s="144"/>
      <c r="S10" s="144">
        <v>1</v>
      </c>
      <c r="T10" s="115">
        <v>20.59</v>
      </c>
      <c r="U10" s="145"/>
      <c r="Z10">
        <v>1729</v>
      </c>
    </row>
    <row r="11" spans="1:28" ht="27.5" customHeight="1">
      <c r="A11" s="143">
        <v>1730</v>
      </c>
      <c r="B11" s="144">
        <v>0.57999999999999996</v>
      </c>
      <c r="C11" s="145"/>
      <c r="D11" s="146"/>
      <c r="E11" s="144"/>
      <c r="F11" s="147"/>
      <c r="G11" s="148"/>
      <c r="H11" s="144">
        <v>0.9</v>
      </c>
      <c r="I11" s="144"/>
      <c r="J11" s="144"/>
      <c r="K11" s="149"/>
      <c r="L11" s="148"/>
      <c r="M11" s="144"/>
      <c r="N11" s="144">
        <v>3.33</v>
      </c>
      <c r="O11" s="150">
        <f>N11*0.257732</f>
        <v>0.85824756000000002</v>
      </c>
      <c r="P11" s="148"/>
      <c r="Q11" s="144"/>
      <c r="R11" s="144"/>
      <c r="S11" s="144">
        <v>1</v>
      </c>
      <c r="T11" s="115">
        <v>20.59</v>
      </c>
      <c r="U11" s="145"/>
      <c r="Z11">
        <v>1730</v>
      </c>
    </row>
    <row r="12" spans="1:28" ht="26" customHeight="1">
      <c r="A12" s="143">
        <v>1731</v>
      </c>
      <c r="B12" s="144">
        <v>0.62883148360760299</v>
      </c>
      <c r="C12" s="145"/>
      <c r="D12" s="146"/>
      <c r="E12" s="144"/>
      <c r="F12" s="147"/>
      <c r="G12" s="148"/>
      <c r="H12" s="144">
        <v>1.35</v>
      </c>
      <c r="I12" s="144">
        <v>0.03</v>
      </c>
      <c r="J12" s="144"/>
      <c r="K12" s="149"/>
      <c r="L12" s="148"/>
      <c r="M12" s="144"/>
      <c r="N12" s="144">
        <v>4.22</v>
      </c>
      <c r="O12" s="150">
        <f>N12*0.257732</f>
        <v>1.0876290399999999</v>
      </c>
      <c r="P12" s="148"/>
      <c r="Q12" s="144"/>
      <c r="R12" s="144"/>
      <c r="S12" s="144">
        <v>1</v>
      </c>
      <c r="T12" s="144">
        <v>20.74</v>
      </c>
      <c r="U12" s="145"/>
      <c r="Z12">
        <v>1731</v>
      </c>
    </row>
    <row r="13" spans="1:28" ht="18.5" customHeight="1">
      <c r="A13" s="143">
        <v>1732</v>
      </c>
      <c r="B13" s="144"/>
      <c r="C13" s="145"/>
      <c r="D13" s="146">
        <v>0.04</v>
      </c>
      <c r="E13" s="144">
        <v>0.27</v>
      </c>
      <c r="F13" s="147"/>
      <c r="G13" s="148"/>
      <c r="H13" s="144">
        <v>0.82676190476190459</v>
      </c>
      <c r="I13" s="144">
        <v>0.03</v>
      </c>
      <c r="J13" s="144"/>
      <c r="K13" s="149"/>
      <c r="L13" s="148"/>
      <c r="M13" s="144"/>
      <c r="N13" s="144">
        <v>2</v>
      </c>
      <c r="O13" s="150">
        <f>N13*0.257732</f>
        <v>0.51546400000000003</v>
      </c>
      <c r="P13" s="148"/>
      <c r="Q13" s="144"/>
      <c r="R13" s="144"/>
      <c r="S13" s="144">
        <v>1</v>
      </c>
      <c r="T13" s="144">
        <v>20.74</v>
      </c>
      <c r="U13" s="145"/>
      <c r="Z13">
        <v>1732</v>
      </c>
    </row>
    <row r="14" spans="1:28" ht="25.5" customHeight="1">
      <c r="A14" s="143">
        <v>1733</v>
      </c>
      <c r="B14" s="144"/>
      <c r="C14" s="145"/>
      <c r="D14" s="146"/>
      <c r="E14" s="144"/>
      <c r="F14" s="147"/>
      <c r="G14" s="148"/>
      <c r="H14" s="144"/>
      <c r="I14" s="144"/>
      <c r="J14" s="144"/>
      <c r="K14" s="149"/>
      <c r="L14" s="148"/>
      <c r="M14" s="144"/>
      <c r="N14" s="144"/>
      <c r="O14" s="145"/>
      <c r="P14" s="148"/>
      <c r="Q14" s="144"/>
      <c r="R14" s="144"/>
      <c r="S14" s="144">
        <v>1</v>
      </c>
      <c r="T14" s="144">
        <v>20.74</v>
      </c>
      <c r="U14" s="145"/>
      <c r="Z14">
        <v>1733</v>
      </c>
    </row>
    <row r="15" spans="1:28" ht="20.55" customHeight="1">
      <c r="A15" s="143">
        <v>1734</v>
      </c>
      <c r="B15" s="144"/>
      <c r="C15" s="145"/>
      <c r="D15" s="146"/>
      <c r="E15" s="144">
        <v>0.25</v>
      </c>
      <c r="F15" s="147"/>
      <c r="G15" s="148"/>
      <c r="H15" s="144"/>
      <c r="I15" s="144">
        <v>0.01</v>
      </c>
      <c r="J15" s="144"/>
      <c r="K15" s="149"/>
      <c r="L15" s="148"/>
      <c r="M15" s="144"/>
      <c r="N15" s="144"/>
      <c r="O15" s="145"/>
      <c r="P15" s="148"/>
      <c r="Q15" s="144"/>
      <c r="R15" s="144"/>
      <c r="S15" s="144">
        <v>1</v>
      </c>
      <c r="T15" s="144">
        <v>20.74</v>
      </c>
      <c r="U15" s="145"/>
      <c r="Z15">
        <v>1734</v>
      </c>
    </row>
    <row r="16" spans="1:28">
      <c r="A16" s="111">
        <v>1735</v>
      </c>
      <c r="B16" s="115"/>
      <c r="C16" s="150"/>
      <c r="D16" s="112"/>
      <c r="E16" s="115">
        <v>0.24</v>
      </c>
      <c r="F16" s="152"/>
      <c r="G16" s="155"/>
      <c r="H16" s="115">
        <v>1.2</v>
      </c>
      <c r="I16" s="115">
        <v>0.02</v>
      </c>
      <c r="J16" s="115"/>
      <c r="K16" s="154"/>
      <c r="L16" s="155"/>
      <c r="M16" s="115"/>
      <c r="N16" s="115"/>
      <c r="O16" s="150"/>
      <c r="P16" s="155"/>
      <c r="Q16" s="115"/>
      <c r="R16" s="111"/>
      <c r="S16" s="144">
        <v>1</v>
      </c>
      <c r="T16" s="144">
        <v>20.74</v>
      </c>
      <c r="U16" s="150"/>
      <c r="Z16">
        <v>1735</v>
      </c>
    </row>
    <row r="17" spans="1:28">
      <c r="A17" s="111">
        <v>1736</v>
      </c>
      <c r="B17" s="115"/>
      <c r="C17" s="150"/>
      <c r="D17" s="112">
        <v>9.5833333333333326E-2</v>
      </c>
      <c r="E17" s="115">
        <v>0.25</v>
      </c>
      <c r="F17" s="152"/>
      <c r="G17" s="155"/>
      <c r="H17" s="115">
        <v>1.2</v>
      </c>
      <c r="I17" s="115">
        <v>0.01</v>
      </c>
      <c r="J17" s="115"/>
      <c r="K17" s="154"/>
      <c r="L17" s="155"/>
      <c r="M17" s="115"/>
      <c r="N17" s="115"/>
      <c r="O17" s="150"/>
      <c r="P17" s="155"/>
      <c r="Q17" s="115"/>
      <c r="R17" s="111"/>
      <c r="S17" s="144">
        <v>1</v>
      </c>
      <c r="T17" s="144">
        <v>20.74</v>
      </c>
      <c r="U17" s="150"/>
      <c r="Z17">
        <v>1736</v>
      </c>
    </row>
    <row r="18" spans="1:28">
      <c r="A18" s="111">
        <v>1737</v>
      </c>
      <c r="B18" s="115">
        <v>0.8</v>
      </c>
      <c r="C18" s="150"/>
      <c r="D18" s="112"/>
      <c r="E18" s="115"/>
      <c r="F18" s="152"/>
      <c r="G18" s="155"/>
      <c r="H18" s="115"/>
      <c r="I18" s="115"/>
      <c r="J18" s="115"/>
      <c r="K18" s="154"/>
      <c r="L18" s="155"/>
      <c r="M18" s="115"/>
      <c r="N18" s="115"/>
      <c r="O18" s="150"/>
      <c r="P18" s="155"/>
      <c r="Q18" s="115"/>
      <c r="R18" s="111"/>
      <c r="S18" s="144">
        <v>1</v>
      </c>
      <c r="T18" s="144">
        <v>20.74</v>
      </c>
      <c r="U18" s="150"/>
      <c r="Z18">
        <v>1737</v>
      </c>
    </row>
    <row r="19" spans="1:28">
      <c r="A19" s="111">
        <v>1738</v>
      </c>
      <c r="B19" s="156">
        <v>0.8</v>
      </c>
      <c r="C19" s="150">
        <v>1.325E-2</v>
      </c>
      <c r="D19" s="112">
        <v>3.6666666666666667E-2</v>
      </c>
      <c r="E19" s="115">
        <v>0.24</v>
      </c>
      <c r="F19" s="152">
        <f>2.110043*B19+12.19512*C19+12.19512*D19+E19*0.42735</f>
        <v>2.3993381400000002</v>
      </c>
      <c r="G19" s="155"/>
      <c r="H19" s="115">
        <v>1.29</v>
      </c>
      <c r="I19" s="115">
        <v>0.03</v>
      </c>
      <c r="J19" s="115">
        <v>1.34</v>
      </c>
      <c r="K19" s="154">
        <f>H19*0.15873+I19*7.042254+J19*0.079365</f>
        <v>0.52237842000000001</v>
      </c>
      <c r="L19" s="155"/>
      <c r="M19" s="115">
        <f>F19+K19</f>
        <v>2.9217165600000001</v>
      </c>
      <c r="N19" s="115">
        <v>3.47</v>
      </c>
      <c r="O19" s="150">
        <f>N19*0.257732</f>
        <v>0.89433004000000016</v>
      </c>
      <c r="P19" s="155"/>
      <c r="Q19" s="115">
        <f>(F19+K19+O19)*0.05</f>
        <v>0.19080233000000002</v>
      </c>
      <c r="R19" s="115">
        <f>F19+K19+O19+Q19</f>
        <v>4.0068489300000003</v>
      </c>
      <c r="S19" s="144">
        <v>1</v>
      </c>
      <c r="T19" s="144">
        <v>20.74</v>
      </c>
      <c r="U19" s="150">
        <f>R19*S19*T19</f>
        <v>83.102046808200001</v>
      </c>
      <c r="Z19">
        <v>1738</v>
      </c>
      <c r="AA19" s="35">
        <v>4.0068489300000003</v>
      </c>
      <c r="AB19" s="35">
        <v>0.83102046808200003</v>
      </c>
    </row>
    <row r="20" spans="1:28">
      <c r="A20" s="111">
        <v>1741</v>
      </c>
      <c r="B20" s="115"/>
      <c r="C20" s="150"/>
      <c r="D20" s="112"/>
      <c r="E20" s="115">
        <v>0.24</v>
      </c>
      <c r="F20" s="152"/>
      <c r="G20" s="155"/>
      <c r="H20" s="115">
        <v>1.7</v>
      </c>
      <c r="I20" s="115">
        <v>0.03</v>
      </c>
      <c r="J20" s="115">
        <v>1.2</v>
      </c>
      <c r="K20" s="154"/>
      <c r="L20" s="155"/>
      <c r="M20" s="115"/>
      <c r="N20" s="115"/>
      <c r="O20" s="150"/>
      <c r="P20" s="155"/>
      <c r="Q20" s="115"/>
      <c r="R20" s="111"/>
      <c r="S20" s="144">
        <v>1</v>
      </c>
      <c r="T20" s="144">
        <v>20.74</v>
      </c>
      <c r="U20" s="150"/>
      <c r="Z20">
        <v>1741</v>
      </c>
    </row>
    <row r="21" spans="1:28">
      <c r="A21" s="111">
        <v>1744</v>
      </c>
      <c r="B21" s="115">
        <v>1.3</v>
      </c>
      <c r="C21" s="150"/>
      <c r="D21" s="112"/>
      <c r="E21" s="115"/>
      <c r="F21" s="152"/>
      <c r="G21" s="155"/>
      <c r="H21" s="115"/>
      <c r="I21" s="115"/>
      <c r="J21" s="115"/>
      <c r="K21" s="154"/>
      <c r="L21" s="155"/>
      <c r="M21" s="115"/>
      <c r="N21" s="115"/>
      <c r="O21" s="150"/>
      <c r="P21" s="155"/>
      <c r="Q21" s="115"/>
      <c r="R21" s="111"/>
      <c r="S21" s="144">
        <v>1</v>
      </c>
      <c r="T21" s="144">
        <v>20.74</v>
      </c>
      <c r="U21" s="150"/>
      <c r="Z21">
        <v>1744</v>
      </c>
    </row>
    <row r="22" spans="1:28">
      <c r="A22" s="111">
        <v>1745</v>
      </c>
      <c r="B22" s="115">
        <v>1</v>
      </c>
      <c r="C22" s="150"/>
      <c r="D22" s="112"/>
      <c r="E22" s="115"/>
      <c r="F22" s="152"/>
      <c r="G22" s="155"/>
      <c r="H22" s="115"/>
      <c r="I22" s="115"/>
      <c r="J22" s="115"/>
      <c r="K22" s="154"/>
      <c r="L22" s="155"/>
      <c r="M22" s="115"/>
      <c r="N22" s="115"/>
      <c r="O22" s="150"/>
      <c r="P22" s="155"/>
      <c r="Q22" s="115"/>
      <c r="R22" s="111"/>
      <c r="S22" s="144">
        <v>1</v>
      </c>
      <c r="T22" s="144">
        <v>20.74</v>
      </c>
      <c r="U22" s="150"/>
      <c r="Z22">
        <v>1745</v>
      </c>
    </row>
    <row r="23" spans="1:28">
      <c r="A23" s="111">
        <v>1746</v>
      </c>
      <c r="B23" s="115">
        <v>0.9</v>
      </c>
      <c r="C23" s="150"/>
      <c r="D23" s="112"/>
      <c r="E23" s="115"/>
      <c r="F23" s="152"/>
      <c r="G23" s="155"/>
      <c r="H23" s="115"/>
      <c r="I23" s="115">
        <v>0.04</v>
      </c>
      <c r="J23" s="115"/>
      <c r="K23" s="154"/>
      <c r="L23" s="155"/>
      <c r="M23" s="115"/>
      <c r="N23" s="115"/>
      <c r="O23" s="150"/>
      <c r="P23" s="155"/>
      <c r="Q23" s="115"/>
      <c r="R23" s="111"/>
      <c r="S23" s="144">
        <v>1</v>
      </c>
      <c r="T23" s="144">
        <v>20.74</v>
      </c>
      <c r="U23" s="150"/>
      <c r="Z23">
        <v>1746</v>
      </c>
    </row>
    <row r="24" spans="1:28">
      <c r="A24" s="111">
        <v>1747</v>
      </c>
      <c r="B24" s="115">
        <v>0.9</v>
      </c>
      <c r="C24" s="150"/>
      <c r="D24" s="112"/>
      <c r="E24" s="115"/>
      <c r="F24" s="152"/>
      <c r="G24" s="155"/>
      <c r="H24" s="115"/>
      <c r="I24" s="115"/>
      <c r="J24" s="115"/>
      <c r="K24" s="154"/>
      <c r="L24" s="155"/>
      <c r="M24" s="115"/>
      <c r="N24" s="115"/>
      <c r="O24" s="150"/>
      <c r="P24" s="155"/>
      <c r="Q24" s="115"/>
      <c r="R24" s="111"/>
      <c r="S24" s="144">
        <v>1</v>
      </c>
      <c r="T24" s="144">
        <v>20.74</v>
      </c>
      <c r="U24" s="150"/>
      <c r="Z24">
        <v>1747</v>
      </c>
    </row>
    <row r="25" spans="1:28">
      <c r="A25" s="111">
        <v>1748</v>
      </c>
      <c r="B25" s="115">
        <v>1</v>
      </c>
      <c r="C25" s="150"/>
      <c r="D25" s="112"/>
      <c r="E25" s="115"/>
      <c r="F25" s="152"/>
      <c r="G25" s="155"/>
      <c r="H25" s="115"/>
      <c r="I25" s="115"/>
      <c r="J25" s="115"/>
      <c r="K25" s="154"/>
      <c r="L25" s="155"/>
      <c r="M25" s="115"/>
      <c r="N25" s="115"/>
      <c r="O25" s="150"/>
      <c r="P25" s="155"/>
      <c r="Q25" s="115"/>
      <c r="R25" s="111"/>
      <c r="S25" s="144">
        <v>1</v>
      </c>
      <c r="T25" s="144">
        <v>20.74</v>
      </c>
      <c r="U25" s="150"/>
      <c r="Z25">
        <v>1748</v>
      </c>
    </row>
    <row r="26" spans="1:28">
      <c r="A26" s="111">
        <v>1749</v>
      </c>
      <c r="B26" s="115">
        <v>1.7</v>
      </c>
      <c r="C26" s="150"/>
      <c r="D26" s="112"/>
      <c r="E26" s="115"/>
      <c r="F26" s="152"/>
      <c r="G26" s="155"/>
      <c r="H26" s="115"/>
      <c r="I26" s="115"/>
      <c r="J26" s="115"/>
      <c r="K26" s="154"/>
      <c r="L26" s="155"/>
      <c r="M26" s="115"/>
      <c r="N26" s="115"/>
      <c r="O26" s="150"/>
      <c r="P26" s="155"/>
      <c r="Q26" s="115"/>
      <c r="R26" s="111"/>
      <c r="S26" s="144">
        <v>1</v>
      </c>
      <c r="T26" s="144">
        <v>20.74</v>
      </c>
      <c r="U26" s="150"/>
      <c r="Z26">
        <v>1749</v>
      </c>
    </row>
    <row r="27" spans="1:28">
      <c r="A27" s="111">
        <v>1750</v>
      </c>
      <c r="B27" s="115">
        <v>1.2</v>
      </c>
      <c r="C27" s="150"/>
      <c r="D27" s="112"/>
      <c r="E27" s="115"/>
      <c r="F27" s="152"/>
      <c r="G27" s="155"/>
      <c r="H27" s="115"/>
      <c r="I27" s="115"/>
      <c r="J27" s="115"/>
      <c r="K27" s="154"/>
      <c r="L27" s="155"/>
      <c r="M27" s="115"/>
      <c r="N27" s="115"/>
      <c r="O27" s="150"/>
      <c r="P27" s="155"/>
      <c r="Q27" s="115"/>
      <c r="R27" s="111"/>
      <c r="S27" s="144">
        <v>1</v>
      </c>
      <c r="T27" s="144">
        <v>20.74</v>
      </c>
      <c r="U27" s="150"/>
      <c r="Z27">
        <v>1750</v>
      </c>
    </row>
    <row r="28" spans="1:28">
      <c r="A28" s="111">
        <v>1751</v>
      </c>
      <c r="B28" s="115">
        <v>1.1499999999999999</v>
      </c>
      <c r="C28" s="150"/>
      <c r="D28" s="112"/>
      <c r="E28" s="115"/>
      <c r="F28" s="152"/>
      <c r="G28" s="155"/>
      <c r="H28" s="115"/>
      <c r="I28" s="115"/>
      <c r="J28" s="115"/>
      <c r="K28" s="154"/>
      <c r="L28" s="155"/>
      <c r="M28" s="115"/>
      <c r="N28" s="115"/>
      <c r="O28" s="150"/>
      <c r="P28" s="155"/>
      <c r="Q28" s="115"/>
      <c r="R28" s="111"/>
      <c r="S28" s="144">
        <v>1</v>
      </c>
      <c r="T28" s="144">
        <v>20.74</v>
      </c>
      <c r="U28" s="150"/>
      <c r="Z28">
        <v>1751</v>
      </c>
    </row>
    <row r="29" spans="1:28">
      <c r="A29" s="111">
        <v>1752</v>
      </c>
      <c r="B29" s="115">
        <v>1.1000000000000001</v>
      </c>
      <c r="C29" s="150"/>
      <c r="D29" s="112"/>
      <c r="E29" s="115"/>
      <c r="F29" s="152"/>
      <c r="G29" s="155"/>
      <c r="H29" s="115"/>
      <c r="I29" s="115"/>
      <c r="J29" s="115"/>
      <c r="K29" s="154"/>
      <c r="L29" s="155"/>
      <c r="M29" s="115"/>
      <c r="N29" s="115"/>
      <c r="O29" s="150"/>
      <c r="P29" s="155"/>
      <c r="Q29" s="115"/>
      <c r="R29" s="111"/>
      <c r="S29" s="144">
        <v>1</v>
      </c>
      <c r="T29" s="144">
        <v>20.74</v>
      </c>
      <c r="U29" s="150"/>
      <c r="Z29">
        <v>1752</v>
      </c>
    </row>
    <row r="30" spans="1:28">
      <c r="A30" s="111">
        <v>1753</v>
      </c>
      <c r="B30" s="115">
        <v>0.9</v>
      </c>
      <c r="C30" s="150"/>
      <c r="D30" s="112"/>
      <c r="E30" s="115"/>
      <c r="F30" s="152"/>
      <c r="G30" s="155"/>
      <c r="H30" s="115"/>
      <c r="I30" s="115"/>
      <c r="J30" s="115"/>
      <c r="K30" s="154"/>
      <c r="L30" s="155"/>
      <c r="M30" s="115"/>
      <c r="N30" s="115"/>
      <c r="O30" s="150"/>
      <c r="P30" s="155"/>
      <c r="Q30" s="115"/>
      <c r="R30" s="111"/>
      <c r="S30" s="144">
        <v>1</v>
      </c>
      <c r="T30" s="144">
        <v>20.74</v>
      </c>
      <c r="U30" s="150"/>
      <c r="Z30">
        <v>1753</v>
      </c>
    </row>
    <row r="31" spans="1:28">
      <c r="A31" s="111">
        <v>1757</v>
      </c>
      <c r="B31" s="115">
        <v>0.75</v>
      </c>
      <c r="C31" s="150"/>
      <c r="D31" s="112"/>
      <c r="E31" s="115"/>
      <c r="F31" s="152"/>
      <c r="G31" s="155"/>
      <c r="H31" s="115"/>
      <c r="I31" s="115">
        <v>0.04</v>
      </c>
      <c r="J31" s="115">
        <v>1.8</v>
      </c>
      <c r="K31" s="154"/>
      <c r="L31" s="155"/>
      <c r="M31" s="115"/>
      <c r="N31" s="115">
        <v>4.03</v>
      </c>
      <c r="O31" s="150"/>
      <c r="P31" s="155"/>
      <c r="Q31" s="115"/>
      <c r="R31" s="111"/>
      <c r="S31" s="144">
        <v>1</v>
      </c>
      <c r="T31" s="144">
        <v>20.74</v>
      </c>
      <c r="U31" s="150"/>
      <c r="Z31">
        <v>1757</v>
      </c>
    </row>
    <row r="32" spans="1:28">
      <c r="A32" s="111">
        <v>1758</v>
      </c>
      <c r="B32" s="115">
        <v>0.9</v>
      </c>
      <c r="C32" s="150"/>
      <c r="D32" s="112"/>
      <c r="E32" s="115"/>
      <c r="F32" s="152"/>
      <c r="G32" s="155"/>
      <c r="H32" s="115"/>
      <c r="I32" s="115"/>
      <c r="J32" s="115"/>
      <c r="K32" s="154"/>
      <c r="L32" s="155"/>
      <c r="M32" s="115"/>
      <c r="N32" s="115"/>
      <c r="O32" s="150"/>
      <c r="P32" s="155"/>
      <c r="Q32" s="115"/>
      <c r="R32" s="111"/>
      <c r="S32" s="144">
        <v>1</v>
      </c>
      <c r="T32" s="144">
        <v>20.74</v>
      </c>
      <c r="U32" s="150"/>
      <c r="Z32">
        <v>1758</v>
      </c>
    </row>
    <row r="33" spans="1:28">
      <c r="A33" s="111">
        <v>1759</v>
      </c>
      <c r="B33" s="115">
        <v>0.85</v>
      </c>
      <c r="C33" s="150"/>
      <c r="D33" s="112"/>
      <c r="E33" s="115"/>
      <c r="F33" s="152"/>
      <c r="G33" s="155"/>
      <c r="H33" s="115"/>
      <c r="I33" s="115"/>
      <c r="J33" s="115"/>
      <c r="K33" s="154"/>
      <c r="L33" s="155"/>
      <c r="M33" s="115"/>
      <c r="N33" s="115"/>
      <c r="O33" s="150"/>
      <c r="P33" s="155"/>
      <c r="Q33" s="115"/>
      <c r="R33" s="111"/>
      <c r="S33" s="144">
        <v>1</v>
      </c>
      <c r="T33" s="144">
        <v>20.74</v>
      </c>
      <c r="U33" s="150"/>
      <c r="Z33">
        <v>1759</v>
      </c>
    </row>
    <row r="34" spans="1:28">
      <c r="A34" s="111">
        <v>1760</v>
      </c>
      <c r="B34" s="115">
        <v>0.75666666666666671</v>
      </c>
      <c r="C34" s="150"/>
      <c r="D34" s="112"/>
      <c r="E34" s="115"/>
      <c r="F34" s="152"/>
      <c r="G34" s="155"/>
      <c r="H34" s="115"/>
      <c r="I34" s="115"/>
      <c r="J34" s="115"/>
      <c r="K34" s="154"/>
      <c r="L34" s="155"/>
      <c r="M34" s="115"/>
      <c r="N34" s="115"/>
      <c r="O34" s="150"/>
      <c r="P34" s="155"/>
      <c r="Q34" s="115"/>
      <c r="R34" s="111"/>
      <c r="S34" s="144">
        <v>1</v>
      </c>
      <c r="T34" s="144">
        <v>20.74</v>
      </c>
      <c r="U34" s="150"/>
      <c r="Z34">
        <v>1760</v>
      </c>
    </row>
    <row r="35" spans="1:28">
      <c r="A35" s="111">
        <v>1761</v>
      </c>
      <c r="B35" s="115">
        <v>0.74333333333333329</v>
      </c>
      <c r="C35" s="150"/>
      <c r="D35" s="112"/>
      <c r="E35" s="115"/>
      <c r="F35" s="152"/>
      <c r="G35" s="155"/>
      <c r="H35" s="115">
        <v>1.6</v>
      </c>
      <c r="I35" s="115"/>
      <c r="J35" s="115"/>
      <c r="K35" s="154"/>
      <c r="L35" s="155"/>
      <c r="M35" s="115"/>
      <c r="N35" s="115"/>
      <c r="O35" s="150"/>
      <c r="P35" s="155"/>
      <c r="Q35" s="115"/>
      <c r="R35" s="111"/>
      <c r="S35" s="144">
        <v>1</v>
      </c>
      <c r="T35" s="144">
        <v>20.74</v>
      </c>
      <c r="U35" s="150"/>
      <c r="Z35">
        <v>1761</v>
      </c>
    </row>
    <row r="36" spans="1:28">
      <c r="A36" s="111">
        <v>1762</v>
      </c>
      <c r="B36" s="115">
        <v>1.0266666666666666</v>
      </c>
      <c r="C36" s="150">
        <v>0.01</v>
      </c>
      <c r="D36" s="112">
        <v>0.05</v>
      </c>
      <c r="E36" s="115">
        <v>0.4</v>
      </c>
      <c r="F36" s="152">
        <f>2.110043*B36+12.19512*C36+12.19512*D36+E36*0.42735</f>
        <v>3.068958013333333</v>
      </c>
      <c r="G36" s="155"/>
      <c r="H36" s="157">
        <f>(H35+H37)/2</f>
        <v>1.82</v>
      </c>
      <c r="I36" s="115">
        <v>0.03</v>
      </c>
      <c r="J36" s="115">
        <v>2.2000000000000002</v>
      </c>
      <c r="K36" s="154">
        <f>H36*0.15873+I36*7.042254+J36*0.079365</f>
        <v>0.6747592200000001</v>
      </c>
      <c r="L36" s="155"/>
      <c r="M36" s="115">
        <f>F36+K36</f>
        <v>3.7437172333333333</v>
      </c>
      <c r="N36" s="115">
        <v>1</v>
      </c>
      <c r="O36" s="150">
        <f>N36*0.257732</f>
        <v>0.25773200000000002</v>
      </c>
      <c r="P36" s="155"/>
      <c r="Q36" s="115">
        <f>(F36+K36+O36)*0.05</f>
        <v>0.20007246166666667</v>
      </c>
      <c r="R36" s="115">
        <f>F36+K36+O36+Q36</f>
        <v>4.2015216949999994</v>
      </c>
      <c r="S36" s="144">
        <v>1</v>
      </c>
      <c r="T36" s="144">
        <v>20.74</v>
      </c>
      <c r="U36" s="150">
        <f t="shared" ref="U36:U38" si="0">R36*S36*T36</f>
        <v>87.139559954299983</v>
      </c>
      <c r="Z36">
        <v>1762</v>
      </c>
      <c r="AA36" s="35">
        <v>4.2015216949999994</v>
      </c>
      <c r="AB36" s="35">
        <v>0.87139559954299983</v>
      </c>
    </row>
    <row r="37" spans="1:28">
      <c r="A37" s="111">
        <v>1763</v>
      </c>
      <c r="B37" s="115">
        <v>1.0449999999999999</v>
      </c>
      <c r="C37" s="150">
        <v>1.2500000000000001E-2</v>
      </c>
      <c r="D37" s="112">
        <v>5.1250000000000004E-2</v>
      </c>
      <c r="E37" s="115">
        <v>0.4</v>
      </c>
      <c r="F37" s="152">
        <f>2.110043*B37+12.19512*C37+12.19512*D37+E37*0.42735</f>
        <v>3.1533738349999996</v>
      </c>
      <c r="G37" s="155">
        <f>F37*100/R37</f>
        <v>72.91828980702229</v>
      </c>
      <c r="H37" s="115">
        <v>2.04</v>
      </c>
      <c r="I37" s="115">
        <v>0.02</v>
      </c>
      <c r="J37" s="115">
        <v>2.8000000000000003</v>
      </c>
      <c r="K37" s="154">
        <f>H37*0.15873+I37*7.042254+J37*0.079365</f>
        <v>0.68687628000000012</v>
      </c>
      <c r="L37" s="155">
        <f>K37*100/R37</f>
        <v>15.883255924399274</v>
      </c>
      <c r="M37" s="115">
        <f>F37+K37</f>
        <v>3.8402501149999999</v>
      </c>
      <c r="N37" s="115">
        <v>1.08</v>
      </c>
      <c r="O37" s="150">
        <f>N37*0.257732</f>
        <v>0.27835056000000002</v>
      </c>
      <c r="P37" s="155">
        <f>O37*100/R37</f>
        <v>6.4365495066736829</v>
      </c>
      <c r="Q37" s="115">
        <f>(F37+K37+O37)*0.05</f>
        <v>0.20593003374999999</v>
      </c>
      <c r="R37" s="115">
        <f>F37+K37+O37+Q37</f>
        <v>4.3245307087499993</v>
      </c>
      <c r="S37" s="144">
        <v>1</v>
      </c>
      <c r="T37" s="144">
        <v>20.74</v>
      </c>
      <c r="U37" s="150">
        <f t="shared" si="0"/>
        <v>89.69076689947498</v>
      </c>
      <c r="Z37">
        <v>1763</v>
      </c>
      <c r="AA37" s="35">
        <v>4.3245307087499993</v>
      </c>
      <c r="AB37" s="35">
        <v>0.89690766899474983</v>
      </c>
    </row>
    <row r="38" spans="1:28">
      <c r="A38" s="111">
        <v>1764</v>
      </c>
      <c r="B38" s="115">
        <v>1.0266666666666666</v>
      </c>
      <c r="C38" s="150">
        <v>1.2500000000000001E-2</v>
      </c>
      <c r="D38" s="112">
        <v>0.05</v>
      </c>
      <c r="E38" s="115">
        <v>0.4</v>
      </c>
      <c r="F38" s="152">
        <f>2.110043*B38+12.19512*C38+12.19512*D38+E38*0.42735</f>
        <v>3.0994458133333334</v>
      </c>
      <c r="G38" s="155">
        <f>F38*100/R38</f>
        <v>72.936635824482153</v>
      </c>
      <c r="H38" s="115">
        <f>(1.76+1.6)/2</f>
        <v>1.6800000000000002</v>
      </c>
      <c r="I38" s="115">
        <v>0.03</v>
      </c>
      <c r="J38" s="115">
        <v>1.6</v>
      </c>
      <c r="K38" s="154">
        <f>H38*0.15873+I38*7.042254+J38*0.079365</f>
        <v>0.60491802000000006</v>
      </c>
      <c r="L38" s="155">
        <f>K38*100/R38</f>
        <v>14.235023931893403</v>
      </c>
      <c r="M38" s="115">
        <f>F38+K38</f>
        <v>3.7043638333333333</v>
      </c>
      <c r="N38" s="115">
        <v>1.33</v>
      </c>
      <c r="O38" s="150">
        <f>N38*0.257732</f>
        <v>0.34278356000000004</v>
      </c>
      <c r="P38" s="155">
        <f>O38*100/R38</f>
        <v>8.0664354817196848</v>
      </c>
      <c r="Q38" s="115">
        <f>(F38+K38+O38)*0.05</f>
        <v>0.2023573696666667</v>
      </c>
      <c r="R38" s="115">
        <f>F38+K38+O38+Q38</f>
        <v>4.249504763</v>
      </c>
      <c r="S38" s="144">
        <v>1</v>
      </c>
      <c r="T38" s="115">
        <v>18</v>
      </c>
      <c r="U38" s="150">
        <f t="shared" si="0"/>
        <v>76.491085733999995</v>
      </c>
      <c r="Z38">
        <v>1764</v>
      </c>
      <c r="AA38" s="35">
        <v>4.249504763</v>
      </c>
      <c r="AB38" s="35">
        <v>0.76491085733999997</v>
      </c>
    </row>
    <row r="39" spans="1:28">
      <c r="A39" s="111">
        <v>1765</v>
      </c>
      <c r="B39" s="115">
        <v>1.2233333333333334</v>
      </c>
      <c r="C39" s="150"/>
      <c r="D39" s="112"/>
      <c r="E39" s="115"/>
      <c r="F39" s="152"/>
      <c r="G39" s="155"/>
      <c r="H39" s="115"/>
      <c r="I39" s="115">
        <v>4.4999999999999998E-2</v>
      </c>
      <c r="J39" s="115">
        <v>1.6</v>
      </c>
      <c r="K39" s="154">
        <f>H39*0.15873+I39*7.042254+J39*0.079365</f>
        <v>0.44388543000000003</v>
      </c>
      <c r="L39" s="155"/>
      <c r="M39" s="115"/>
      <c r="N39" s="115"/>
      <c r="O39" s="150"/>
      <c r="P39" s="155"/>
      <c r="Q39" s="115"/>
      <c r="R39" s="111"/>
      <c r="S39" s="144">
        <v>1</v>
      </c>
      <c r="T39" s="115">
        <v>18</v>
      </c>
      <c r="U39" s="150"/>
      <c r="Z39">
        <v>1765</v>
      </c>
    </row>
    <row r="40" spans="1:28">
      <c r="A40" s="111">
        <v>1766</v>
      </c>
      <c r="B40" s="115">
        <v>2.2799999999999998</v>
      </c>
      <c r="C40" s="150"/>
      <c r="D40" s="112"/>
      <c r="E40" s="115"/>
      <c r="F40" s="152"/>
      <c r="G40" s="155"/>
      <c r="H40" s="115"/>
      <c r="I40" s="115">
        <v>0.03</v>
      </c>
      <c r="J40" s="115"/>
      <c r="K40" s="154"/>
      <c r="L40" s="155"/>
      <c r="M40" s="115"/>
      <c r="N40" s="115"/>
      <c r="O40" s="150"/>
      <c r="P40" s="155"/>
      <c r="Q40" s="115"/>
      <c r="R40" s="111"/>
      <c r="S40" s="144">
        <v>1</v>
      </c>
      <c r="T40" s="115">
        <v>18</v>
      </c>
      <c r="U40" s="150"/>
      <c r="Z40">
        <v>1766</v>
      </c>
    </row>
    <row r="41" spans="1:28">
      <c r="A41" s="111">
        <v>1767</v>
      </c>
      <c r="B41" s="115">
        <v>2.5939999999999999</v>
      </c>
      <c r="C41" s="150">
        <v>0.01</v>
      </c>
      <c r="D41" s="112">
        <v>0.06</v>
      </c>
      <c r="E41" s="115">
        <v>0.5</v>
      </c>
      <c r="F41" s="152">
        <f>2.110043*B41+12.19512*C41+12.19512*D41+E41*0.42735</f>
        <v>6.5407849420000002</v>
      </c>
      <c r="G41" s="155">
        <f>F41*100/R41</f>
        <v>79.972630178767602</v>
      </c>
      <c r="H41" s="115">
        <v>1.6</v>
      </c>
      <c r="I41" s="115">
        <v>0.05</v>
      </c>
      <c r="J41" s="115">
        <v>1.6</v>
      </c>
      <c r="K41" s="154">
        <f>H41*0.15873+I41*7.042254+J41*0.079365</f>
        <v>0.73306470000000001</v>
      </c>
      <c r="L41" s="155">
        <f>K41*100/R41</f>
        <v>8.9630086709873087</v>
      </c>
      <c r="M41" s="115">
        <f>F41+K41</f>
        <v>7.2738496420000001</v>
      </c>
      <c r="N41" s="115">
        <v>2</v>
      </c>
      <c r="O41" s="150">
        <f>N41*0.257732</f>
        <v>0.51546400000000003</v>
      </c>
      <c r="P41" s="155">
        <f>O41*100/R41</f>
        <v>6.3024563883403495</v>
      </c>
      <c r="Q41" s="115">
        <f>(F41+K41+O41)*0.05</f>
        <v>0.38946568209999999</v>
      </c>
      <c r="R41" s="115">
        <f>F41+K41+O41+Q41</f>
        <v>8.1787793240999989</v>
      </c>
      <c r="S41" s="144">
        <v>1</v>
      </c>
      <c r="T41" s="115">
        <v>18</v>
      </c>
      <c r="U41" s="150">
        <f>R41*S41*T41</f>
        <v>147.21802783379997</v>
      </c>
      <c r="Z41">
        <v>1767</v>
      </c>
      <c r="AA41" s="35">
        <v>8.1787793240999989</v>
      </c>
      <c r="AB41" s="35">
        <v>1.4721802783379996</v>
      </c>
    </row>
    <row r="42" spans="1:28">
      <c r="A42" s="111">
        <v>1768</v>
      </c>
      <c r="B42" s="115">
        <v>2.2950000000000004</v>
      </c>
      <c r="C42" s="150"/>
      <c r="D42" s="112"/>
      <c r="E42" s="115"/>
      <c r="F42" s="152"/>
      <c r="G42" s="155"/>
      <c r="H42" s="115"/>
      <c r="I42" s="115">
        <v>0.05</v>
      </c>
      <c r="J42" s="115"/>
      <c r="K42" s="154"/>
      <c r="L42" s="155"/>
      <c r="M42" s="115"/>
      <c r="N42" s="115"/>
      <c r="O42" s="150"/>
      <c r="P42" s="155"/>
      <c r="Q42" s="115"/>
      <c r="R42" s="111"/>
      <c r="S42" s="144">
        <v>1</v>
      </c>
      <c r="T42" s="115">
        <v>18</v>
      </c>
      <c r="U42" s="150"/>
      <c r="Z42">
        <v>1768</v>
      </c>
    </row>
    <row r="43" spans="1:28">
      <c r="A43" s="111">
        <v>1769</v>
      </c>
      <c r="B43" s="115">
        <v>2.1</v>
      </c>
      <c r="C43" s="150"/>
      <c r="D43" s="112">
        <v>0.05</v>
      </c>
      <c r="E43" s="115">
        <v>0.39990234375</v>
      </c>
      <c r="F43" s="152"/>
      <c r="G43" s="155"/>
      <c r="H43" s="115">
        <v>2.65</v>
      </c>
      <c r="I43" s="115">
        <v>6.3333333333333339E-2</v>
      </c>
      <c r="J43" s="115"/>
      <c r="K43" s="154"/>
      <c r="L43" s="155"/>
      <c r="M43" s="115"/>
      <c r="N43" s="115">
        <v>1.05</v>
      </c>
      <c r="O43" s="150"/>
      <c r="P43" s="155"/>
      <c r="Q43" s="115"/>
      <c r="R43" s="111"/>
      <c r="S43" s="111">
        <v>0.99009900990099009</v>
      </c>
      <c r="T43" s="115">
        <v>18</v>
      </c>
      <c r="U43" s="150"/>
      <c r="Z43">
        <v>1769</v>
      </c>
    </row>
    <row r="44" spans="1:28">
      <c r="A44" s="111">
        <v>1770</v>
      </c>
      <c r="B44" s="115">
        <v>1.54</v>
      </c>
      <c r="C44" s="150"/>
      <c r="D44" s="112">
        <v>0.05</v>
      </c>
      <c r="E44" s="115">
        <v>0.39990234375</v>
      </c>
      <c r="F44" s="152"/>
      <c r="G44" s="155"/>
      <c r="H44" s="115">
        <v>2.4666666666666668</v>
      </c>
      <c r="I44" s="115"/>
      <c r="J44" s="115"/>
      <c r="K44" s="154"/>
      <c r="L44" s="155"/>
      <c r="M44" s="115"/>
      <c r="N44" s="115">
        <v>1.17</v>
      </c>
      <c r="O44" s="150"/>
      <c r="P44" s="155"/>
      <c r="Q44" s="115"/>
      <c r="R44" s="111"/>
      <c r="S44" s="111">
        <v>0.99009900990099009</v>
      </c>
      <c r="T44" s="115">
        <v>18</v>
      </c>
      <c r="U44" s="150"/>
      <c r="Z44">
        <v>1770</v>
      </c>
    </row>
    <row r="45" spans="1:28">
      <c r="A45" s="111">
        <v>1771</v>
      </c>
      <c r="B45" s="115">
        <v>1.3433333333333335</v>
      </c>
      <c r="C45" s="150"/>
      <c r="D45" s="112"/>
      <c r="E45" s="115"/>
      <c r="F45" s="152"/>
      <c r="G45" s="155"/>
      <c r="H45" s="115"/>
      <c r="I45" s="115"/>
      <c r="J45" s="115"/>
      <c r="K45" s="154"/>
      <c r="L45" s="155"/>
      <c r="M45" s="115"/>
      <c r="N45" s="115"/>
      <c r="O45" s="150"/>
      <c r="P45" s="155"/>
      <c r="Q45" s="115"/>
      <c r="R45" s="111"/>
      <c r="S45" s="111">
        <v>0.98039215686274506</v>
      </c>
      <c r="T45" s="115">
        <v>18</v>
      </c>
      <c r="U45" s="150"/>
      <c r="Z45">
        <v>1771</v>
      </c>
    </row>
    <row r="46" spans="1:28">
      <c r="A46" s="111">
        <v>1772</v>
      </c>
      <c r="B46" s="115">
        <v>1.7342857142857142</v>
      </c>
      <c r="C46" s="150"/>
      <c r="D46" s="112">
        <v>2.9000000000000001E-2</v>
      </c>
      <c r="E46" s="115">
        <v>0.39990234375</v>
      </c>
      <c r="F46" s="152"/>
      <c r="G46" s="155"/>
      <c r="H46" s="115">
        <v>2.27</v>
      </c>
      <c r="I46" s="115"/>
      <c r="J46" s="115"/>
      <c r="K46" s="154"/>
      <c r="L46" s="155"/>
      <c r="M46" s="115"/>
      <c r="N46" s="115">
        <v>3.35</v>
      </c>
      <c r="O46" s="150">
        <f>N46*0.257732</f>
        <v>0.86340220000000012</v>
      </c>
      <c r="P46" s="155"/>
      <c r="Q46" s="115"/>
      <c r="R46" s="111"/>
      <c r="S46" s="111">
        <v>0.970873786407767</v>
      </c>
      <c r="T46" s="115">
        <v>18</v>
      </c>
      <c r="U46" s="150"/>
      <c r="Z46">
        <v>1772</v>
      </c>
    </row>
    <row r="47" spans="1:28">
      <c r="A47" s="111">
        <v>1773</v>
      </c>
      <c r="B47" s="115">
        <v>1.7914285714285714</v>
      </c>
      <c r="C47" s="150"/>
      <c r="D47" s="112"/>
      <c r="E47" s="115"/>
      <c r="F47" s="152"/>
      <c r="G47" s="155"/>
      <c r="H47" s="115"/>
      <c r="I47" s="115"/>
      <c r="J47" s="115"/>
      <c r="K47" s="154"/>
      <c r="L47" s="155"/>
      <c r="M47" s="115"/>
      <c r="N47" s="115"/>
      <c r="O47" s="150"/>
      <c r="P47" s="155"/>
      <c r="Q47" s="115"/>
      <c r="R47" s="111"/>
      <c r="S47" s="111">
        <v>0.98039215686274506</v>
      </c>
      <c r="T47" s="115">
        <v>18</v>
      </c>
      <c r="U47" s="150"/>
      <c r="Z47">
        <v>1773</v>
      </c>
    </row>
    <row r="48" spans="1:28">
      <c r="A48" s="111">
        <v>1774</v>
      </c>
      <c r="B48" s="115">
        <v>2.0300000000000002</v>
      </c>
      <c r="C48" s="150"/>
      <c r="D48" s="112"/>
      <c r="E48" s="115"/>
      <c r="F48" s="152"/>
      <c r="G48" s="155"/>
      <c r="H48" s="115"/>
      <c r="I48" s="115"/>
      <c r="J48" s="115"/>
      <c r="K48" s="154"/>
      <c r="L48" s="155"/>
      <c r="M48" s="115"/>
      <c r="N48" s="115"/>
      <c r="O48" s="150"/>
      <c r="P48" s="155"/>
      <c r="Q48" s="115"/>
      <c r="R48" s="111"/>
      <c r="S48" s="111">
        <v>1</v>
      </c>
      <c r="T48" s="115">
        <v>18</v>
      </c>
      <c r="U48" s="150"/>
      <c r="Z48">
        <v>1774</v>
      </c>
    </row>
    <row r="49" spans="1:28">
      <c r="A49" s="111">
        <v>1775</v>
      </c>
      <c r="B49" s="115">
        <v>2.6475</v>
      </c>
      <c r="C49" s="150"/>
      <c r="D49" s="112">
        <v>5.5000000000000007E-2</v>
      </c>
      <c r="E49" s="115">
        <v>0.39990234375</v>
      </c>
      <c r="F49" s="152"/>
      <c r="G49" s="155"/>
      <c r="H49" s="115">
        <v>2.5</v>
      </c>
      <c r="I49" s="115">
        <v>0.09</v>
      </c>
      <c r="J49" s="115"/>
      <c r="K49" s="154"/>
      <c r="L49" s="155"/>
      <c r="M49" s="115"/>
      <c r="N49" s="115">
        <v>2.4</v>
      </c>
      <c r="O49" s="150"/>
      <c r="P49" s="155"/>
      <c r="Q49" s="115"/>
      <c r="R49" s="111"/>
      <c r="S49" s="111">
        <v>0.99009900990099009</v>
      </c>
      <c r="T49" s="115">
        <v>18</v>
      </c>
      <c r="U49" s="150"/>
      <c r="Z49">
        <v>1775</v>
      </c>
    </row>
    <row r="50" spans="1:28">
      <c r="A50" s="111">
        <v>1776</v>
      </c>
      <c r="B50" s="115">
        <v>2.1825000000000001</v>
      </c>
      <c r="C50" s="150"/>
      <c r="D50" s="112"/>
      <c r="E50" s="115"/>
      <c r="F50" s="152"/>
      <c r="G50" s="155"/>
      <c r="H50" s="115">
        <v>2</v>
      </c>
      <c r="I50" s="115"/>
      <c r="J50" s="115"/>
      <c r="K50" s="154"/>
      <c r="L50" s="155"/>
      <c r="M50" s="115"/>
      <c r="N50" s="115">
        <v>4.32</v>
      </c>
      <c r="O50" s="150"/>
      <c r="P50" s="155"/>
      <c r="Q50" s="115"/>
      <c r="R50" s="111"/>
      <c r="S50" s="111">
        <v>0.99009900990099009</v>
      </c>
      <c r="T50" s="115">
        <v>18</v>
      </c>
      <c r="U50" s="150"/>
      <c r="Z50">
        <v>1776</v>
      </c>
    </row>
    <row r="51" spans="1:28">
      <c r="A51" s="111">
        <v>1777</v>
      </c>
      <c r="B51" s="115">
        <v>1.66</v>
      </c>
      <c r="C51" s="150">
        <v>2.5000000000000001E-2</v>
      </c>
      <c r="D51" s="112">
        <v>0.06</v>
      </c>
      <c r="E51" s="115">
        <v>0.4</v>
      </c>
      <c r="F51" s="152">
        <f>2.110043*B51+12.19512*C51+12.19512*D51+E51*0.42735</f>
        <v>4.7101965799999999</v>
      </c>
      <c r="G51" s="155">
        <f>F51*100/R51</f>
        <v>76.992759107307691</v>
      </c>
      <c r="H51" s="115">
        <v>2</v>
      </c>
      <c r="I51" s="115">
        <v>4.4999999999999998E-2</v>
      </c>
      <c r="J51" s="115">
        <v>1.2</v>
      </c>
      <c r="K51" s="154">
        <f>H51*0.15873+I51*7.042254+J51*0.079365</f>
        <v>0.72959943000000005</v>
      </c>
      <c r="L51" s="155">
        <f>K51*100/R51</f>
        <v>11.926014595089152</v>
      </c>
      <c r="M51" s="115">
        <f>F51+K51</f>
        <v>5.4397960100000002</v>
      </c>
      <c r="N51" s="115">
        <v>1.5</v>
      </c>
      <c r="O51" s="150">
        <f>N51*0.257732</f>
        <v>0.386598</v>
      </c>
      <c r="P51" s="155">
        <f>O51*100/R51</f>
        <v>6.3193215356983963</v>
      </c>
      <c r="Q51" s="115">
        <f>(F51+K51+O51)*0.05</f>
        <v>0.29131970050000006</v>
      </c>
      <c r="R51" s="115">
        <f>F51+K51+O51+Q51</f>
        <v>6.1177137105000003</v>
      </c>
      <c r="S51" s="115">
        <v>0.99009900990099009</v>
      </c>
      <c r="T51" s="115">
        <v>18</v>
      </c>
      <c r="U51" s="150">
        <f>R51*S51*T51</f>
        <v>109.02856117722773</v>
      </c>
      <c r="Z51">
        <v>1777</v>
      </c>
      <c r="AA51" s="35">
        <v>6.1177137105000003</v>
      </c>
      <c r="AB51" s="35">
        <v>1.0902856117722772</v>
      </c>
    </row>
    <row r="52" spans="1:28">
      <c r="A52" s="111">
        <v>1778</v>
      </c>
      <c r="B52" s="115">
        <v>1.4249999999999998</v>
      </c>
      <c r="C52" s="150"/>
      <c r="D52" s="112">
        <v>0.02</v>
      </c>
      <c r="E52" s="115">
        <v>0.39990234375</v>
      </c>
      <c r="F52" s="152"/>
      <c r="G52" s="155"/>
      <c r="H52" s="115"/>
      <c r="I52" s="115"/>
      <c r="J52" s="115">
        <v>4</v>
      </c>
      <c r="K52" s="154"/>
      <c r="L52" s="155"/>
      <c r="M52" s="115"/>
      <c r="N52" s="115">
        <v>1.65</v>
      </c>
      <c r="O52" s="150"/>
      <c r="P52" s="155"/>
      <c r="Q52" s="115"/>
      <c r="R52" s="111"/>
      <c r="S52" s="111">
        <v>0.99009900990099009</v>
      </c>
      <c r="T52" s="115">
        <v>18</v>
      </c>
      <c r="U52" s="150"/>
      <c r="Z52">
        <v>1778</v>
      </c>
    </row>
    <row r="53" spans="1:28">
      <c r="A53" s="111">
        <v>1779</v>
      </c>
      <c r="B53" s="115">
        <v>1.855</v>
      </c>
      <c r="C53" s="150"/>
      <c r="D53" s="112"/>
      <c r="E53" s="115"/>
      <c r="F53" s="152"/>
      <c r="G53" s="155"/>
      <c r="H53" s="115"/>
      <c r="I53" s="115">
        <v>0.06</v>
      </c>
      <c r="J53" s="115"/>
      <c r="K53" s="154"/>
      <c r="L53" s="155"/>
      <c r="M53" s="115"/>
      <c r="N53" s="115"/>
      <c r="O53" s="150"/>
      <c r="P53" s="155"/>
      <c r="Q53" s="115"/>
      <c r="R53" s="111"/>
      <c r="S53" s="111">
        <v>0.99009900990099009</v>
      </c>
      <c r="T53" s="115">
        <v>18</v>
      </c>
      <c r="U53" s="150"/>
      <c r="Z53">
        <v>1779</v>
      </c>
    </row>
    <row r="54" spans="1:28">
      <c r="A54" s="111">
        <v>1780</v>
      </c>
      <c r="B54" s="115">
        <v>1.98</v>
      </c>
      <c r="C54" s="150">
        <v>4.4999999999999998E-2</v>
      </c>
      <c r="D54" s="112"/>
      <c r="E54" s="115"/>
      <c r="F54" s="152"/>
      <c r="G54" s="155"/>
      <c r="H54" s="115">
        <v>2.8</v>
      </c>
      <c r="I54" s="115">
        <v>0.05</v>
      </c>
      <c r="J54" s="115"/>
      <c r="K54" s="154"/>
      <c r="L54" s="155"/>
      <c r="M54" s="115"/>
      <c r="N54" s="115">
        <v>1.98</v>
      </c>
      <c r="O54" s="150"/>
      <c r="P54" s="155"/>
      <c r="Q54" s="115"/>
      <c r="R54" s="111"/>
      <c r="S54" s="111">
        <v>0.99009900990099009</v>
      </c>
      <c r="T54" s="115">
        <v>18</v>
      </c>
      <c r="U54" s="150"/>
      <c r="Z54">
        <v>1780</v>
      </c>
    </row>
    <row r="55" spans="1:28">
      <c r="A55" s="111">
        <v>1781</v>
      </c>
      <c r="B55" s="150">
        <v>1.5175000000000001</v>
      </c>
      <c r="C55" s="150"/>
      <c r="D55" s="112"/>
      <c r="E55" s="115"/>
      <c r="F55" s="152"/>
      <c r="G55" s="155"/>
      <c r="H55" s="115"/>
      <c r="I55" s="115">
        <v>4.2499999999999996E-2</v>
      </c>
      <c r="J55" s="115"/>
      <c r="K55" s="154"/>
      <c r="L55" s="155"/>
      <c r="M55" s="115"/>
      <c r="N55" s="115"/>
      <c r="O55" s="150"/>
      <c r="P55" s="155"/>
      <c r="Q55" s="115"/>
      <c r="R55" s="111"/>
      <c r="S55" s="111">
        <v>0.99009900990099009</v>
      </c>
      <c r="T55" s="115">
        <v>18</v>
      </c>
      <c r="U55" s="150"/>
      <c r="Z55">
        <v>1781</v>
      </c>
    </row>
    <row r="56" spans="1:28">
      <c r="A56" s="111">
        <v>1782</v>
      </c>
      <c r="B56" s="115">
        <v>3.125</v>
      </c>
      <c r="C56" s="150">
        <v>5.8125000000000003E-2</v>
      </c>
      <c r="D56" s="112">
        <v>0.11899999999999999</v>
      </c>
      <c r="E56" s="115"/>
      <c r="F56" s="152"/>
      <c r="G56" s="155"/>
      <c r="H56" s="115"/>
      <c r="I56" s="115"/>
      <c r="J56" s="115"/>
      <c r="K56" s="154"/>
      <c r="L56" s="155"/>
      <c r="M56" s="115"/>
      <c r="N56" s="115">
        <v>1.5</v>
      </c>
      <c r="O56" s="150"/>
      <c r="P56" s="155"/>
      <c r="Q56" s="115"/>
      <c r="R56" s="111"/>
      <c r="S56" s="111">
        <v>0.99009900990099009</v>
      </c>
      <c r="T56" s="115">
        <v>18</v>
      </c>
      <c r="U56" s="150"/>
      <c r="Z56">
        <v>1782</v>
      </c>
    </row>
    <row r="57" spans="1:28">
      <c r="A57" s="111">
        <v>1783</v>
      </c>
      <c r="B57" s="115">
        <v>3.125</v>
      </c>
      <c r="C57" s="150">
        <v>1.7500000000000002E-2</v>
      </c>
      <c r="D57" s="112">
        <v>0.11899999999999999</v>
      </c>
      <c r="E57" s="115"/>
      <c r="F57" s="152"/>
      <c r="G57" s="155"/>
      <c r="H57" s="115"/>
      <c r="I57" s="115"/>
      <c r="J57" s="115"/>
      <c r="K57" s="154"/>
      <c r="L57" s="155"/>
      <c r="M57" s="115"/>
      <c r="N57" s="115"/>
      <c r="O57" s="150"/>
      <c r="P57" s="155"/>
      <c r="Q57" s="115"/>
      <c r="R57" s="111"/>
      <c r="S57" s="111">
        <v>0.99009900990099009</v>
      </c>
      <c r="T57" s="115">
        <v>18</v>
      </c>
      <c r="U57" s="150"/>
      <c r="Z57">
        <v>1783</v>
      </c>
    </row>
    <row r="58" spans="1:28">
      <c r="A58" s="111">
        <v>1784</v>
      </c>
      <c r="B58" s="115">
        <v>3.125</v>
      </c>
      <c r="C58" s="150">
        <v>1.7500000000000002E-2</v>
      </c>
      <c r="D58" s="112">
        <v>0.11899999999999999</v>
      </c>
      <c r="E58" s="115"/>
      <c r="F58" s="152"/>
      <c r="G58" s="155"/>
      <c r="H58" s="115"/>
      <c r="I58" s="115"/>
      <c r="J58" s="115"/>
      <c r="K58" s="154"/>
      <c r="L58" s="155"/>
      <c r="M58" s="115"/>
      <c r="N58" s="115"/>
      <c r="O58" s="150"/>
      <c r="P58" s="155"/>
      <c r="Q58" s="115"/>
      <c r="R58" s="111"/>
      <c r="S58" s="111">
        <v>0.98039215686274506</v>
      </c>
      <c r="T58" s="115">
        <v>18</v>
      </c>
      <c r="U58" s="150"/>
      <c r="Z58">
        <v>1784</v>
      </c>
    </row>
    <row r="59" spans="1:28">
      <c r="A59" s="111">
        <v>1785</v>
      </c>
      <c r="B59" s="115">
        <v>2.84</v>
      </c>
      <c r="C59" s="150">
        <v>3.9821428571428563E-2</v>
      </c>
      <c r="D59" s="112">
        <v>0.11899999999999999</v>
      </c>
      <c r="E59" s="115"/>
      <c r="F59" s="152"/>
      <c r="G59" s="155"/>
      <c r="H59" s="115"/>
      <c r="I59" s="115"/>
      <c r="J59" s="115"/>
      <c r="K59" s="154"/>
      <c r="L59" s="155"/>
      <c r="M59" s="115"/>
      <c r="N59" s="115"/>
      <c r="O59" s="150"/>
      <c r="P59" s="155"/>
      <c r="Q59" s="115"/>
      <c r="R59" s="111"/>
      <c r="S59" s="111">
        <v>0.98039215686274506</v>
      </c>
      <c r="T59" s="115">
        <v>18</v>
      </c>
      <c r="U59" s="150"/>
      <c r="Z59">
        <v>1785</v>
      </c>
    </row>
    <row r="60" spans="1:28">
      <c r="A60" s="111">
        <v>1786</v>
      </c>
      <c r="B60" s="115">
        <v>3.105</v>
      </c>
      <c r="C60" s="150">
        <v>1.5663003663003664E-2</v>
      </c>
      <c r="D60" s="112">
        <v>7.2000000000000008E-2</v>
      </c>
      <c r="E60" s="115">
        <v>0.4</v>
      </c>
      <c r="F60" s="152">
        <f t="shared" ref="F60:F77" si="1">2.110043*B60+12.19512*C60+12.19512*D60+E60*0.42735</f>
        <v>7.79168436423077</v>
      </c>
      <c r="G60" s="155">
        <f>F60*100/R60</f>
        <v>73.494198984510334</v>
      </c>
      <c r="H60" s="115">
        <v>3.6850000000000001</v>
      </c>
      <c r="I60" s="115">
        <v>4.2599999999999999E-2</v>
      </c>
      <c r="J60" s="115">
        <v>1.6</v>
      </c>
      <c r="K60" s="154">
        <f>H60*0.15873+I60*7.042254+J60*0.079365</f>
        <v>1.0119040704</v>
      </c>
      <c r="L60" s="155">
        <f>K60*100/R60</f>
        <v>9.5446729650162876</v>
      </c>
      <c r="M60" s="115">
        <f>F60+K60</f>
        <v>8.80358843463077</v>
      </c>
      <c r="N60" s="115">
        <v>1.2933333333333332</v>
      </c>
      <c r="O60" s="150">
        <f t="shared" ref="O60:O73" si="2">N60*0.257732</f>
        <v>0.33333338666666668</v>
      </c>
      <c r="P60" s="155">
        <f>N60*100/R60</f>
        <v>12.199223288568623</v>
      </c>
      <c r="Q60" s="115">
        <f>(F60+K60+N60)*0.05</f>
        <v>0.50484608839820522</v>
      </c>
      <c r="R60" s="115">
        <f>F60+K60+N60+Q60</f>
        <v>10.601767856362308</v>
      </c>
      <c r="S60" s="115">
        <v>0.98039215686274506</v>
      </c>
      <c r="T60" s="115">
        <v>18</v>
      </c>
      <c r="U60" s="150">
        <f t="shared" ref="U60:U63" si="3">R60*S60*T60</f>
        <v>187.09002099462896</v>
      </c>
      <c r="Z60">
        <v>1786</v>
      </c>
      <c r="AA60" s="35">
        <v>10.601767856362308</v>
      </c>
      <c r="AB60" s="35">
        <v>1.8709002099462895</v>
      </c>
    </row>
    <row r="61" spans="1:28">
      <c r="A61" s="111">
        <v>1787</v>
      </c>
      <c r="B61" s="115">
        <v>5.1639999999999997</v>
      </c>
      <c r="C61" s="150">
        <v>1.41875E-2</v>
      </c>
      <c r="D61" s="112">
        <v>8.666666666666667E-2</v>
      </c>
      <c r="E61" s="115">
        <v>0.39990234375</v>
      </c>
      <c r="F61" s="152">
        <f t="shared" si="1"/>
        <v>12.297088983601562</v>
      </c>
      <c r="G61" s="155"/>
      <c r="H61" s="115">
        <v>4</v>
      </c>
      <c r="I61" s="156">
        <f>(I60+I62)/2</f>
        <v>3.3799999999999997E-2</v>
      </c>
      <c r="J61" s="156">
        <f>J60</f>
        <v>1.6</v>
      </c>
      <c r="K61" s="154">
        <f>H61*0.15873+I61*7.042254+J61*0.079365</f>
        <v>0.99993218520000005</v>
      </c>
      <c r="L61" s="155"/>
      <c r="M61" s="115"/>
      <c r="N61" s="115">
        <v>4.108888888888889</v>
      </c>
      <c r="O61" s="150">
        <f t="shared" si="2"/>
        <v>1.0589921511111111</v>
      </c>
      <c r="P61" s="155"/>
      <c r="Q61" s="115">
        <f>(F61+K61+N61)*0.05</f>
        <v>0.87029550288452262</v>
      </c>
      <c r="R61" s="115">
        <f>F61+K61+N61+Q61</f>
        <v>18.276205560574976</v>
      </c>
      <c r="S61" s="115">
        <v>0.970873786407767</v>
      </c>
      <c r="T61" s="115">
        <v>18</v>
      </c>
      <c r="U61" s="150">
        <f t="shared" si="3"/>
        <v>319.39000008771802</v>
      </c>
      <c r="Z61">
        <v>1787</v>
      </c>
      <c r="AA61" s="35">
        <v>18.276205560574976</v>
      </c>
      <c r="AB61" s="35">
        <v>3.1939000008771803</v>
      </c>
    </row>
    <row r="62" spans="1:28">
      <c r="A62" s="111">
        <v>1788</v>
      </c>
      <c r="B62" s="115">
        <v>3.5</v>
      </c>
      <c r="C62" s="150">
        <v>2.375E-2</v>
      </c>
      <c r="D62" s="112">
        <v>8.4499999999999992E-2</v>
      </c>
      <c r="E62" s="115">
        <v>0.39990234375</v>
      </c>
      <c r="F62" s="152">
        <f t="shared" si="1"/>
        <v>8.8761705066015626</v>
      </c>
      <c r="G62" s="155"/>
      <c r="H62" s="156">
        <f>(H61+H63)/2</f>
        <v>4.375</v>
      </c>
      <c r="I62" s="115">
        <v>2.5000000000000001E-2</v>
      </c>
      <c r="J62" s="156">
        <f>J61</f>
        <v>1.6</v>
      </c>
      <c r="K62" s="154">
        <f>H62*0.15873+I62*7.042254+J62*0.079365</f>
        <v>0.99748409999999998</v>
      </c>
      <c r="L62" s="155"/>
      <c r="M62" s="115"/>
      <c r="N62" s="115">
        <v>2.1</v>
      </c>
      <c r="O62" s="150">
        <f t="shared" si="2"/>
        <v>0.54123720000000008</v>
      </c>
      <c r="P62" s="155"/>
      <c r="Q62" s="115">
        <f>(F62+K62+N62)*0.05</f>
        <v>0.59868273033007813</v>
      </c>
      <c r="R62" s="115">
        <f>F62+K62+N62+Q62</f>
        <v>12.572337336931639</v>
      </c>
      <c r="S62" s="115">
        <v>0.92592592592592582</v>
      </c>
      <c r="T62" s="115">
        <v>18</v>
      </c>
      <c r="U62" s="150">
        <f t="shared" si="3"/>
        <v>209.5389556155273</v>
      </c>
      <c r="Z62">
        <v>1788</v>
      </c>
      <c r="AA62" s="35">
        <v>12.572337336931639</v>
      </c>
      <c r="AB62" s="35">
        <v>2.0953895561552729</v>
      </c>
    </row>
    <row r="63" spans="1:28">
      <c r="A63" s="111">
        <v>1789</v>
      </c>
      <c r="B63" s="115">
        <v>3.5</v>
      </c>
      <c r="C63" s="150">
        <v>2.6249999999999999E-2</v>
      </c>
      <c r="D63" s="112">
        <v>8.7499999999999994E-2</v>
      </c>
      <c r="E63" s="115">
        <v>0.39990234375</v>
      </c>
      <c r="F63" s="152">
        <f t="shared" si="1"/>
        <v>8.943243666601564</v>
      </c>
      <c r="G63" s="155"/>
      <c r="H63" s="115">
        <v>4.75</v>
      </c>
      <c r="I63" s="115">
        <v>0.08</v>
      </c>
      <c r="J63" s="156">
        <f>J62</f>
        <v>1.6</v>
      </c>
      <c r="K63" s="154"/>
      <c r="L63" s="155"/>
      <c r="M63" s="115"/>
      <c r="N63" s="115">
        <v>1.5333333333333332</v>
      </c>
      <c r="O63" s="150">
        <f t="shared" si="2"/>
        <v>0.39518906666666664</v>
      </c>
      <c r="P63" s="155"/>
      <c r="Q63" s="115">
        <f>(F63+K63+N63)*0.05</f>
        <v>0.52382884999674484</v>
      </c>
      <c r="R63" s="115">
        <f>F63+K63+N63+Q63</f>
        <v>11.000405849931642</v>
      </c>
      <c r="S63" s="115">
        <v>0.9174311926605504</v>
      </c>
      <c r="T63" s="115">
        <v>18</v>
      </c>
      <c r="U63" s="150">
        <f t="shared" si="3"/>
        <v>181.65807825575189</v>
      </c>
      <c r="Z63">
        <v>1789</v>
      </c>
      <c r="AA63" s="35">
        <v>11.000405849931642</v>
      </c>
      <c r="AB63" s="35">
        <v>1.8165807825575189</v>
      </c>
    </row>
    <row r="64" spans="1:28">
      <c r="A64" s="111">
        <v>1790</v>
      </c>
      <c r="B64" s="115">
        <v>3.25</v>
      </c>
      <c r="C64" s="150">
        <v>4.8125000000000001E-2</v>
      </c>
      <c r="D64" s="112">
        <v>0.10793749999999999</v>
      </c>
      <c r="E64" s="115">
        <v>0.39990234375</v>
      </c>
      <c r="F64" s="152">
        <f t="shared" si="1"/>
        <v>8.9317389316015632</v>
      </c>
      <c r="G64" s="155"/>
      <c r="H64" s="115">
        <v>4.7</v>
      </c>
      <c r="I64" s="115"/>
      <c r="J64" s="115"/>
      <c r="K64" s="154"/>
      <c r="L64" s="155"/>
      <c r="M64" s="115"/>
      <c r="N64" s="115">
        <v>1</v>
      </c>
      <c r="O64" s="150">
        <f t="shared" si="2"/>
        <v>0.25773200000000002</v>
      </c>
      <c r="P64" s="155"/>
      <c r="Q64" s="115"/>
      <c r="R64" s="111"/>
      <c r="S64" s="111">
        <v>0.86956521739130443</v>
      </c>
      <c r="T64" s="115">
        <v>18</v>
      </c>
      <c r="U64" s="150"/>
      <c r="Z64">
        <v>1790</v>
      </c>
    </row>
    <row r="65" spans="1:28">
      <c r="A65" s="111">
        <v>1791</v>
      </c>
      <c r="B65" s="115">
        <v>2.6599999999999997</v>
      </c>
      <c r="C65" s="150">
        <v>4.8125000000000001E-2</v>
      </c>
      <c r="D65" s="112">
        <v>0.11437499999999999</v>
      </c>
      <c r="E65" s="115">
        <v>0.39990234375</v>
      </c>
      <c r="F65" s="152">
        <f t="shared" si="1"/>
        <v>7.7653196466015624</v>
      </c>
      <c r="G65" s="155"/>
      <c r="H65" s="115">
        <v>4.8499999999999996</v>
      </c>
      <c r="I65" s="115"/>
      <c r="J65" s="115"/>
      <c r="K65" s="154"/>
      <c r="L65" s="155"/>
      <c r="M65" s="115"/>
      <c r="N65" s="115">
        <v>1.1000000000000001</v>
      </c>
      <c r="O65" s="150">
        <f t="shared" si="2"/>
        <v>0.28350520000000007</v>
      </c>
      <c r="P65" s="155"/>
      <c r="Q65" s="115"/>
      <c r="R65" s="111"/>
      <c r="S65" s="111">
        <v>0.81300813008130079</v>
      </c>
      <c r="T65" s="115">
        <v>18</v>
      </c>
      <c r="U65" s="150"/>
      <c r="Z65">
        <v>1791</v>
      </c>
    </row>
    <row r="66" spans="1:28">
      <c r="A66" s="111">
        <v>1792</v>
      </c>
      <c r="B66" s="115">
        <v>3.3</v>
      </c>
      <c r="C66" s="150">
        <v>4.8125000000000001E-2</v>
      </c>
      <c r="D66" s="112">
        <v>0.11750000000000001</v>
      </c>
      <c r="E66" s="115">
        <v>0.39990234375</v>
      </c>
      <c r="F66" s="152">
        <f t="shared" si="1"/>
        <v>9.1538569166015638</v>
      </c>
      <c r="G66" s="155"/>
      <c r="H66" s="115">
        <v>5.3</v>
      </c>
      <c r="I66" s="115">
        <v>0.06</v>
      </c>
      <c r="J66" s="156">
        <v>3.64</v>
      </c>
      <c r="K66" s="154"/>
      <c r="L66" s="155"/>
      <c r="M66" s="115"/>
      <c r="N66" s="115">
        <v>1</v>
      </c>
      <c r="O66" s="150">
        <f t="shared" si="2"/>
        <v>0.25773200000000002</v>
      </c>
      <c r="P66" s="155"/>
      <c r="Q66" s="115">
        <f t="shared" ref="Q66:Q75" si="4">(F66+K66+O66)*0.05</f>
        <v>0.47057944583007827</v>
      </c>
      <c r="R66" s="115">
        <f t="shared" ref="R66:R75" si="5">F66+K66+O66+Q66</f>
        <v>9.8821683624316421</v>
      </c>
      <c r="S66" s="115">
        <v>0.79365079365079361</v>
      </c>
      <c r="T66" s="115">
        <v>18</v>
      </c>
      <c r="U66" s="150">
        <f t="shared" ref="U66:U76" si="6">R66*S66*T66</f>
        <v>141.17383374902346</v>
      </c>
      <c r="Z66">
        <v>1792</v>
      </c>
      <c r="AA66" s="35">
        <v>9.8821683624316421</v>
      </c>
      <c r="AB66" s="35">
        <v>1.4117383374902346</v>
      </c>
    </row>
    <row r="67" spans="1:28">
      <c r="A67" s="111">
        <v>1793</v>
      </c>
      <c r="B67" s="150">
        <v>4.2350000000000003</v>
      </c>
      <c r="C67" s="150">
        <v>5.7812500000000003E-2</v>
      </c>
      <c r="D67" s="112">
        <v>0.12962499999999999</v>
      </c>
      <c r="E67" s="115">
        <v>0.4</v>
      </c>
      <c r="F67" s="152">
        <f t="shared" si="1"/>
        <v>11.392794910000001</v>
      </c>
      <c r="G67" s="155">
        <f t="shared" ref="G67:G75" si="7">F67*100/R67</f>
        <v>79.114370440426967</v>
      </c>
      <c r="H67" s="115">
        <v>5.0148148148148142</v>
      </c>
      <c r="I67" s="156">
        <v>0.05</v>
      </c>
      <c r="J67" s="115">
        <v>3.64</v>
      </c>
      <c r="K67" s="154">
        <f t="shared" ref="K67:K76" si="8">H67*0.15873+I67*7.042254+J67*0.079365</f>
        <v>1.4370028555555554</v>
      </c>
      <c r="L67" s="155">
        <f t="shared" ref="L67:L75" si="9">K67*100/R67</f>
        <v>9.9789013263623811</v>
      </c>
      <c r="M67" s="115">
        <f t="shared" ref="M67:M75" si="10">F67+K67</f>
        <v>12.829797765555556</v>
      </c>
      <c r="N67" s="115">
        <v>3.4333333333333336</v>
      </c>
      <c r="O67" s="150">
        <f t="shared" si="2"/>
        <v>0.88487986666666674</v>
      </c>
      <c r="P67" s="155">
        <f t="shared" ref="P67:P75" si="11">O67*100/R67</f>
        <v>6.1448234713058918</v>
      </c>
      <c r="Q67" s="115">
        <f t="shared" si="4"/>
        <v>0.68573388161111115</v>
      </c>
      <c r="R67" s="115">
        <f t="shared" si="5"/>
        <v>14.400411513833333</v>
      </c>
      <c r="S67" s="115">
        <v>0.7407407407407407</v>
      </c>
      <c r="T67" s="115">
        <v>18</v>
      </c>
      <c r="U67" s="150">
        <f t="shared" si="6"/>
        <v>192.0054868511111</v>
      </c>
      <c r="Z67">
        <v>1793</v>
      </c>
      <c r="AA67" s="35">
        <v>14.400411513833333</v>
      </c>
      <c r="AB67" s="35">
        <v>1.920054868511111</v>
      </c>
    </row>
    <row r="68" spans="1:28">
      <c r="A68" s="111">
        <v>1794</v>
      </c>
      <c r="B68" s="150">
        <v>4</v>
      </c>
      <c r="C68" s="150">
        <v>4.2163461538461539E-2</v>
      </c>
      <c r="D68" s="112">
        <v>0.14879999999999999</v>
      </c>
      <c r="E68" s="115">
        <v>0.4</v>
      </c>
      <c r="F68" s="152">
        <f t="shared" si="1"/>
        <v>10.939934329076923</v>
      </c>
      <c r="G68" s="155">
        <f t="shared" si="7"/>
        <v>83.157127232017032</v>
      </c>
      <c r="H68" s="115">
        <v>4.46875</v>
      </c>
      <c r="I68" s="115">
        <v>0.04</v>
      </c>
      <c r="J68" s="115">
        <v>3.6419999999999999</v>
      </c>
      <c r="K68" s="154">
        <f t="shared" si="8"/>
        <v>1.2800621775000001</v>
      </c>
      <c r="L68" s="155">
        <f t="shared" si="9"/>
        <v>9.7300669416579471</v>
      </c>
      <c r="M68" s="115">
        <f t="shared" si="10"/>
        <v>12.219996506576923</v>
      </c>
      <c r="N68" s="115">
        <v>1.2</v>
      </c>
      <c r="O68" s="150">
        <f t="shared" si="2"/>
        <v>0.30927840000000001</v>
      </c>
      <c r="P68" s="155">
        <f t="shared" si="11"/>
        <v>2.3509010644202575</v>
      </c>
      <c r="Q68" s="115">
        <f t="shared" si="4"/>
        <v>0.62646374532884619</v>
      </c>
      <c r="R68" s="115">
        <f t="shared" si="5"/>
        <v>13.15573865190577</v>
      </c>
      <c r="S68" s="115">
        <v>0.70921985815602839</v>
      </c>
      <c r="T68" s="115">
        <v>18</v>
      </c>
      <c r="U68" s="150">
        <f t="shared" si="6"/>
        <v>167.94559981156303</v>
      </c>
      <c r="Z68">
        <v>1794</v>
      </c>
      <c r="AA68" s="35">
        <v>13.15573865190577</v>
      </c>
      <c r="AB68" s="35">
        <v>1.6794559981156303</v>
      </c>
    </row>
    <row r="69" spans="1:28">
      <c r="A69" s="111">
        <v>1795</v>
      </c>
      <c r="B69" s="150">
        <v>4.3600000000000003</v>
      </c>
      <c r="C69" s="150">
        <v>4.2098214285714287E-2</v>
      </c>
      <c r="D69" s="112">
        <v>0.16285714285714287</v>
      </c>
      <c r="E69" s="115">
        <v>0.4</v>
      </c>
      <c r="F69" s="152">
        <f t="shared" si="1"/>
        <v>11.870182655000001</v>
      </c>
      <c r="G69" s="155">
        <f t="shared" si="7"/>
        <v>74.560576189995047</v>
      </c>
      <c r="H69" s="115">
        <v>9.6699999999999982</v>
      </c>
      <c r="I69" s="115">
        <v>0.04</v>
      </c>
      <c r="J69" s="115">
        <v>4.3</v>
      </c>
      <c r="K69" s="154">
        <f t="shared" si="8"/>
        <v>2.15787876</v>
      </c>
      <c r="L69" s="155">
        <f t="shared" si="9"/>
        <v>13.554356185579017</v>
      </c>
      <c r="M69" s="115">
        <f t="shared" si="10"/>
        <v>14.028061415</v>
      </c>
      <c r="N69" s="115">
        <v>4.3999999999999995</v>
      </c>
      <c r="O69" s="150">
        <f t="shared" si="2"/>
        <v>1.1340207999999998</v>
      </c>
      <c r="P69" s="155">
        <f t="shared" si="11"/>
        <v>7.123162862521184</v>
      </c>
      <c r="Q69" s="115">
        <f t="shared" si="4"/>
        <v>0.75810411075000006</v>
      </c>
      <c r="R69" s="115">
        <f t="shared" si="5"/>
        <v>15.92018632575</v>
      </c>
      <c r="S69" s="115">
        <v>0.68493150684931503</v>
      </c>
      <c r="T69" s="115">
        <v>18</v>
      </c>
      <c r="U69" s="150">
        <f t="shared" si="6"/>
        <v>196.27626976952052</v>
      </c>
      <c r="Z69">
        <v>1795</v>
      </c>
      <c r="AA69" s="35">
        <v>15.92018632575</v>
      </c>
      <c r="AB69" s="35">
        <v>1.9627626976952053</v>
      </c>
    </row>
    <row r="70" spans="1:28">
      <c r="A70" s="111">
        <v>1796</v>
      </c>
      <c r="B70" s="150">
        <v>5.5228571428571422</v>
      </c>
      <c r="C70" s="150">
        <v>4.4492187499999995E-2</v>
      </c>
      <c r="D70" s="112">
        <v>0.16921875</v>
      </c>
      <c r="E70" s="115">
        <v>0.4</v>
      </c>
      <c r="F70" s="152">
        <f t="shared" si="1"/>
        <v>14.430636582410713</v>
      </c>
      <c r="G70" s="155">
        <f t="shared" si="7"/>
        <v>81.682009645868376</v>
      </c>
      <c r="H70" s="115">
        <v>5.6583333333333341</v>
      </c>
      <c r="I70" s="115">
        <v>7.4999999999999997E-2</v>
      </c>
      <c r="J70" s="115">
        <v>4.84375</v>
      </c>
      <c r="K70" s="154">
        <f t="shared" si="8"/>
        <v>1.8107405187500001</v>
      </c>
      <c r="L70" s="155">
        <f t="shared" si="9"/>
        <v>10.249369365935063</v>
      </c>
      <c r="M70" s="115">
        <f t="shared" si="10"/>
        <v>16.241377101160712</v>
      </c>
      <c r="N70" s="115">
        <v>2.2666666666666666</v>
      </c>
      <c r="O70" s="150">
        <f t="shared" si="2"/>
        <v>0.58419253333333332</v>
      </c>
      <c r="P70" s="155">
        <f t="shared" si="11"/>
        <v>3.3067162262918042</v>
      </c>
      <c r="Q70" s="115">
        <f t="shared" si="4"/>
        <v>0.84127848172470232</v>
      </c>
      <c r="R70" s="115">
        <f t="shared" si="5"/>
        <v>17.666848116218748</v>
      </c>
      <c r="S70" s="115">
        <v>0.70422535211267612</v>
      </c>
      <c r="T70" s="115">
        <v>18</v>
      </c>
      <c r="U70" s="150">
        <f t="shared" si="6"/>
        <v>223.94596203657568</v>
      </c>
      <c r="Z70">
        <v>1796</v>
      </c>
      <c r="AA70" s="35">
        <v>17.666848116218748</v>
      </c>
      <c r="AB70" s="35">
        <v>2.2394596203657566</v>
      </c>
    </row>
    <row r="71" spans="1:28">
      <c r="A71" s="111">
        <v>1797</v>
      </c>
      <c r="B71" s="150">
        <v>4.71</v>
      </c>
      <c r="C71" s="150">
        <v>4.2291666666666665E-2</v>
      </c>
      <c r="D71" s="112">
        <v>0.13950000000000001</v>
      </c>
      <c r="E71" s="115">
        <v>0.4</v>
      </c>
      <c r="F71" s="152">
        <f t="shared" si="1"/>
        <v>12.32621372</v>
      </c>
      <c r="G71" s="155">
        <f t="shared" si="7"/>
        <v>81.025855934309106</v>
      </c>
      <c r="H71" s="115">
        <v>4.8</v>
      </c>
      <c r="I71" s="115">
        <v>0.1</v>
      </c>
      <c r="J71" s="156">
        <f>(J70+J73)/2</f>
        <v>4.8718749999999993</v>
      </c>
      <c r="K71" s="154">
        <f t="shared" si="8"/>
        <v>1.8527857593750001</v>
      </c>
      <c r="L71" s="155">
        <f t="shared" si="9"/>
        <v>12.179210536701472</v>
      </c>
      <c r="M71" s="115">
        <f t="shared" si="10"/>
        <v>14.178999479375001</v>
      </c>
      <c r="N71" s="115">
        <v>1.2</v>
      </c>
      <c r="O71" s="150">
        <f t="shared" si="2"/>
        <v>0.30927840000000001</v>
      </c>
      <c r="P71" s="155">
        <f t="shared" si="11"/>
        <v>2.0330287670846601</v>
      </c>
      <c r="Q71" s="115">
        <f t="shared" si="4"/>
        <v>0.72441389396875011</v>
      </c>
      <c r="R71" s="115">
        <f t="shared" si="5"/>
        <v>15.212691773343751</v>
      </c>
      <c r="S71" s="115">
        <v>0.79365079365079361</v>
      </c>
      <c r="T71" s="115">
        <v>18</v>
      </c>
      <c r="U71" s="150">
        <f t="shared" si="6"/>
        <v>217.32416819062502</v>
      </c>
      <c r="Z71">
        <v>1797</v>
      </c>
      <c r="AA71" s="35">
        <v>15.212691773343751</v>
      </c>
      <c r="AB71" s="35">
        <v>2.1732416819062501</v>
      </c>
    </row>
    <row r="72" spans="1:28">
      <c r="A72" s="111">
        <v>1798</v>
      </c>
      <c r="B72" s="150">
        <v>4.0457142857142872</v>
      </c>
      <c r="C72" s="150">
        <v>6.1874999999999999E-2</v>
      </c>
      <c r="D72" s="112">
        <v>0.141875</v>
      </c>
      <c r="E72" s="115">
        <v>0.4</v>
      </c>
      <c r="F72" s="152">
        <f t="shared" si="1"/>
        <v>11.192326808571432</v>
      </c>
      <c r="G72" s="155">
        <f t="shared" si="7"/>
        <v>80.886390738040774</v>
      </c>
      <c r="H72" s="115">
        <v>4.8</v>
      </c>
      <c r="I72" s="115">
        <v>7.4999999999999997E-2</v>
      </c>
      <c r="J72" s="156">
        <v>4.87</v>
      </c>
      <c r="K72" s="154">
        <f t="shared" si="8"/>
        <v>1.6765805999999999</v>
      </c>
      <c r="L72" s="155">
        <f t="shared" si="9"/>
        <v>12.116564842581482</v>
      </c>
      <c r="M72" s="115">
        <f t="shared" si="10"/>
        <v>12.868907408571431</v>
      </c>
      <c r="N72" s="115">
        <v>1.2</v>
      </c>
      <c r="O72" s="150">
        <f t="shared" si="2"/>
        <v>0.30927840000000001</v>
      </c>
      <c r="P72" s="155">
        <f t="shared" si="11"/>
        <v>2.235139657472986</v>
      </c>
      <c r="Q72" s="115">
        <f t="shared" si="4"/>
        <v>0.6589092904285716</v>
      </c>
      <c r="R72" s="115">
        <f t="shared" si="5"/>
        <v>13.837095099000003</v>
      </c>
      <c r="S72" s="115">
        <v>0.72992700729927007</v>
      </c>
      <c r="T72" s="115">
        <v>18</v>
      </c>
      <c r="U72" s="150">
        <f t="shared" si="6"/>
        <v>181.80124947591247</v>
      </c>
      <c r="Z72">
        <v>1798</v>
      </c>
      <c r="AA72" s="35">
        <v>13.837095099000003</v>
      </c>
      <c r="AB72" s="35">
        <v>1.8180124947591247</v>
      </c>
    </row>
    <row r="73" spans="1:28">
      <c r="A73" s="111">
        <v>1799</v>
      </c>
      <c r="B73" s="150">
        <v>3.99125</v>
      </c>
      <c r="C73" s="150">
        <v>4.9750000000000003E-2</v>
      </c>
      <c r="D73" s="112">
        <v>0.13750000000000001</v>
      </c>
      <c r="E73" s="115">
        <v>0.44</v>
      </c>
      <c r="F73" s="152">
        <f t="shared" si="1"/>
        <v>10.893279343750001</v>
      </c>
      <c r="G73" s="155">
        <f t="shared" si="7"/>
        <v>77.075262395262797</v>
      </c>
      <c r="H73" s="115">
        <v>6</v>
      </c>
      <c r="I73" s="156">
        <f>(0.08+0.09)/2</f>
        <v>8.4999999999999992E-2</v>
      </c>
      <c r="J73" s="115">
        <v>4.8999999999999995</v>
      </c>
      <c r="K73" s="154">
        <f t="shared" si="8"/>
        <v>1.93986009</v>
      </c>
      <c r="L73" s="155">
        <f t="shared" si="9"/>
        <v>13.725455919078417</v>
      </c>
      <c r="M73" s="115">
        <f t="shared" si="10"/>
        <v>12.83313943375</v>
      </c>
      <c r="N73" s="115">
        <v>2.4333333333333336</v>
      </c>
      <c r="O73" s="150">
        <f t="shared" si="2"/>
        <v>0.62714786666666678</v>
      </c>
      <c r="P73" s="155">
        <f t="shared" si="11"/>
        <v>4.4373769237540239</v>
      </c>
      <c r="Q73" s="115">
        <f t="shared" si="4"/>
        <v>0.67301436502083334</v>
      </c>
      <c r="R73" s="115">
        <f t="shared" si="5"/>
        <v>14.1333016654375</v>
      </c>
      <c r="S73" s="115">
        <v>0.66225165562913912</v>
      </c>
      <c r="T73" s="115">
        <v>18</v>
      </c>
      <c r="U73" s="150">
        <f t="shared" si="6"/>
        <v>168.47644369395695</v>
      </c>
      <c r="Z73">
        <v>1799</v>
      </c>
      <c r="AA73" s="35">
        <v>14.1333016654375</v>
      </c>
      <c r="AB73" s="35">
        <v>1.6847644369395696</v>
      </c>
    </row>
    <row r="74" spans="1:28">
      <c r="A74" s="111">
        <v>1800</v>
      </c>
      <c r="B74" s="150">
        <v>4.5419999999999998</v>
      </c>
      <c r="C74" s="150">
        <v>5.2750000000000005E-2</v>
      </c>
      <c r="D74" s="112">
        <v>0.18833333333333332</v>
      </c>
      <c r="E74" s="115">
        <v>0.4</v>
      </c>
      <c r="F74" s="152">
        <f t="shared" si="1"/>
        <v>12.694795486</v>
      </c>
      <c r="G74" s="155">
        <f t="shared" si="7"/>
        <v>73.127031875824656</v>
      </c>
      <c r="H74" s="115">
        <v>5.74</v>
      </c>
      <c r="I74" s="156">
        <f>(0.08+0.09)/2</f>
        <v>8.4999999999999992E-2</v>
      </c>
      <c r="J74" s="115">
        <v>5.0999999999999996</v>
      </c>
      <c r="K74" s="154">
        <f t="shared" si="8"/>
        <v>1.91446329</v>
      </c>
      <c r="L74" s="155">
        <f t="shared" si="9"/>
        <v>11.028064074550789</v>
      </c>
      <c r="M74" s="115">
        <f t="shared" si="10"/>
        <v>14.609258776000001</v>
      </c>
      <c r="N74" s="115">
        <v>6.086950904392765</v>
      </c>
      <c r="O74" s="150">
        <v>1.9240000000000002</v>
      </c>
      <c r="P74" s="155">
        <f t="shared" si="11"/>
        <v>11.082999287719808</v>
      </c>
      <c r="Q74" s="115">
        <f t="shared" si="4"/>
        <v>0.82666293880000008</v>
      </c>
      <c r="R74" s="115">
        <f t="shared" si="5"/>
        <v>17.359921714799999</v>
      </c>
      <c r="S74" s="115">
        <v>0.65359477124183007</v>
      </c>
      <c r="T74" s="115">
        <v>18</v>
      </c>
      <c r="U74" s="150">
        <f t="shared" si="6"/>
        <v>204.23437311529409</v>
      </c>
      <c r="Z74">
        <v>1800</v>
      </c>
      <c r="AA74" s="35">
        <v>17.359921714799999</v>
      </c>
      <c r="AB74" s="35">
        <v>2.0423437311529411</v>
      </c>
    </row>
    <row r="75" spans="1:28">
      <c r="A75" s="111">
        <v>1801</v>
      </c>
      <c r="B75" s="150">
        <v>5.1766666666666667</v>
      </c>
      <c r="C75" s="150">
        <v>0.04</v>
      </c>
      <c r="D75" s="112">
        <v>0.16999999999999998</v>
      </c>
      <c r="E75" s="115">
        <v>0.39990234375</v>
      </c>
      <c r="F75" s="152">
        <f t="shared" si="1"/>
        <v>13.654862729934896</v>
      </c>
      <c r="G75" s="155">
        <f t="shared" si="7"/>
        <v>75.415711382951898</v>
      </c>
      <c r="H75" s="115">
        <v>5.4600000000000009</v>
      </c>
      <c r="I75" s="156">
        <f>(0.08+0.09)/2</f>
        <v>8.4999999999999992E-2</v>
      </c>
      <c r="J75" s="115">
        <v>4.9980000000000002</v>
      </c>
      <c r="K75" s="154">
        <f t="shared" si="8"/>
        <v>1.8619236600000002</v>
      </c>
      <c r="L75" s="155">
        <f t="shared" si="9"/>
        <v>10.283391355653633</v>
      </c>
      <c r="M75" s="115">
        <f t="shared" si="10"/>
        <v>15.516786389934897</v>
      </c>
      <c r="N75" s="156">
        <f>(6.09+5.94)/2</f>
        <v>6.0150000000000006</v>
      </c>
      <c r="O75" s="150">
        <f>(O74+O76)/2</f>
        <v>1.727141875</v>
      </c>
      <c r="P75" s="155">
        <f t="shared" si="11"/>
        <v>9.538992499489698</v>
      </c>
      <c r="Q75" s="115">
        <f t="shared" si="4"/>
        <v>0.8621964132467449</v>
      </c>
      <c r="R75" s="115">
        <f t="shared" si="5"/>
        <v>18.106124678181644</v>
      </c>
      <c r="S75" s="115">
        <v>0.66225165562913912</v>
      </c>
      <c r="T75" s="115">
        <v>18</v>
      </c>
      <c r="U75" s="150">
        <f t="shared" si="6"/>
        <v>215.83459881276133</v>
      </c>
      <c r="Z75">
        <v>1801</v>
      </c>
      <c r="AA75" s="35">
        <v>18.106124678181644</v>
      </c>
      <c r="AB75" s="35">
        <v>2.1583459881276132</v>
      </c>
    </row>
    <row r="76" spans="1:28">
      <c r="A76" s="111">
        <v>1802</v>
      </c>
      <c r="B76" s="150">
        <v>4.2</v>
      </c>
      <c r="C76" s="150">
        <v>3.7499999999999999E-2</v>
      </c>
      <c r="D76" s="112">
        <v>0.13125000000000001</v>
      </c>
      <c r="E76" s="115">
        <v>0.40600000000000003</v>
      </c>
      <c r="F76" s="152">
        <f t="shared" si="1"/>
        <v>11.0936112</v>
      </c>
      <c r="G76" s="155">
        <f>F76*100/R76</f>
        <v>72.442694699152725</v>
      </c>
      <c r="H76" s="115">
        <v>6.0500000000000016</v>
      </c>
      <c r="I76" s="115">
        <v>0.09</v>
      </c>
      <c r="J76" s="115">
        <v>4.6166666666666663</v>
      </c>
      <c r="K76" s="154">
        <f t="shared" si="8"/>
        <v>1.9605211100000002</v>
      </c>
      <c r="L76" s="155">
        <f>K76*100/R76</f>
        <v>12.80245266058847</v>
      </c>
      <c r="M76" s="115">
        <f>F76+K76</f>
        <v>13.05413231</v>
      </c>
      <c r="N76" s="115">
        <v>5.9375</v>
      </c>
      <c r="O76" s="150">
        <f>N76*0.257732</f>
        <v>1.5302837500000002</v>
      </c>
      <c r="P76" s="155">
        <f>O76*100/R76</f>
        <v>9.9929478783540358</v>
      </c>
      <c r="Q76" s="115">
        <f>(F76+K76+O76)*0.05</f>
        <v>0.72922080300000003</v>
      </c>
      <c r="R76" s="115">
        <f>F76+K76+O76+Q76</f>
        <v>15.313636863000001</v>
      </c>
      <c r="S76" s="115">
        <v>0.7246376811594204</v>
      </c>
      <c r="T76" s="115">
        <v>18</v>
      </c>
      <c r="U76" s="150">
        <f t="shared" si="6"/>
        <v>199.74308951739135</v>
      </c>
      <c r="Z76">
        <v>1802</v>
      </c>
      <c r="AA76" s="35">
        <v>15.313636863000001</v>
      </c>
      <c r="AB76" s="35">
        <v>1.9974308951739135</v>
      </c>
    </row>
    <row r="77" spans="1:28">
      <c r="A77" s="111">
        <v>1803</v>
      </c>
      <c r="B77" s="115">
        <v>5.95</v>
      </c>
      <c r="C77" s="150">
        <v>0.04</v>
      </c>
      <c r="D77" s="112">
        <v>0.16</v>
      </c>
      <c r="E77" s="115">
        <v>0.4</v>
      </c>
      <c r="F77" s="152">
        <f t="shared" si="1"/>
        <v>15.164719850000001</v>
      </c>
      <c r="G77" s="155"/>
      <c r="H77" s="115">
        <v>6.64</v>
      </c>
      <c r="I77" s="115"/>
      <c r="J77" s="115"/>
      <c r="K77" s="154"/>
      <c r="L77" s="155"/>
      <c r="M77" s="115"/>
      <c r="N77" s="115">
        <v>1.2</v>
      </c>
      <c r="O77" s="150">
        <f>N77*0.257732</f>
        <v>0.30927840000000001</v>
      </c>
      <c r="P77" s="155"/>
      <c r="Q77" s="115"/>
      <c r="R77" s="111"/>
      <c r="S77" s="111">
        <v>0.8</v>
      </c>
      <c r="T77" s="115">
        <v>18</v>
      </c>
      <c r="U77" s="150"/>
      <c r="Z77">
        <v>1803</v>
      </c>
    </row>
    <row r="78" spans="1:28">
      <c r="A78" s="111">
        <v>1804</v>
      </c>
      <c r="B78" s="150">
        <v>4</v>
      </c>
      <c r="C78" s="150"/>
      <c r="D78" s="112"/>
      <c r="E78" s="115"/>
      <c r="F78" s="152"/>
      <c r="G78" s="155"/>
      <c r="H78" s="115"/>
      <c r="I78" s="115"/>
      <c r="J78" s="115"/>
      <c r="K78" s="154"/>
      <c r="L78" s="155"/>
      <c r="M78" s="115"/>
      <c r="N78" s="115"/>
      <c r="O78" s="150"/>
      <c r="P78" s="155"/>
      <c r="Q78" s="115"/>
      <c r="R78" s="111"/>
      <c r="S78" s="111">
        <v>0.79365079365079361</v>
      </c>
      <c r="T78" s="115">
        <v>18</v>
      </c>
      <c r="U78" s="150"/>
      <c r="Z78">
        <v>1804</v>
      </c>
    </row>
    <row r="79" spans="1:28">
      <c r="A79" s="111">
        <v>1805</v>
      </c>
      <c r="B79" s="150">
        <v>3.4949999999999997</v>
      </c>
      <c r="C79" s="150">
        <v>4.2000000000000003E-2</v>
      </c>
      <c r="D79" s="112">
        <v>0.13249999999999998</v>
      </c>
      <c r="E79" s="115">
        <v>0.4</v>
      </c>
      <c r="F79" s="152">
        <f t="shared" ref="F79:F84" si="12">2.110043*B79+12.19512*C79+12.19512*D79+E79*0.42735</f>
        <v>9.6735887249999983</v>
      </c>
      <c r="G79" s="155">
        <f>F79*100/R79</f>
        <v>64.202441364508516</v>
      </c>
      <c r="H79" s="115">
        <v>6.2</v>
      </c>
      <c r="I79" s="115">
        <v>0.1</v>
      </c>
      <c r="J79" s="115">
        <v>6.4</v>
      </c>
      <c r="K79" s="154">
        <f>H79*0.15873+I79*7.042254+J79*0.079365</f>
        <v>2.1962874000000001</v>
      </c>
      <c r="L79" s="155">
        <f>K79*100/R79</f>
        <v>14.576494517871794</v>
      </c>
      <c r="M79" s="115">
        <f>F79+K79</f>
        <v>11.869876124999998</v>
      </c>
      <c r="N79" s="115">
        <v>9.6222222222222236</v>
      </c>
      <c r="O79" s="150">
        <f t="shared" ref="O79:O89" si="13">N79*0.257732</f>
        <v>2.4799545777777783</v>
      </c>
      <c r="P79" s="155">
        <f>O79*100/R79</f>
        <v>16.459159355714938</v>
      </c>
      <c r="Q79" s="115">
        <f>(F79+K79+O79)*0.05</f>
        <v>0.71749153513888886</v>
      </c>
      <c r="R79" s="115">
        <f>F79+K79+O79+Q79</f>
        <v>15.067322237916665</v>
      </c>
      <c r="S79" s="115">
        <v>0.76923076923076916</v>
      </c>
      <c r="T79" s="115">
        <v>18</v>
      </c>
      <c r="U79" s="150">
        <f t="shared" ref="U79:U81" si="14">R79*S79*T79</f>
        <v>208.6244617557692</v>
      </c>
      <c r="Z79">
        <v>1805</v>
      </c>
      <c r="AA79" s="35">
        <v>15.067322237916665</v>
      </c>
      <c r="AB79" s="35">
        <v>2.0862446175576919</v>
      </c>
    </row>
    <row r="80" spans="1:28">
      <c r="A80" s="110">
        <v>1806</v>
      </c>
      <c r="B80" s="158">
        <f>(B79+B82)/2</f>
        <v>4.7474999999999996</v>
      </c>
      <c r="C80" s="109">
        <v>2.3E-2</v>
      </c>
      <c r="D80" s="112">
        <v>0.22500000000000001</v>
      </c>
      <c r="E80" s="115">
        <v>0.4</v>
      </c>
      <c r="F80" s="152">
        <f t="shared" si="12"/>
        <v>13.212758902499999</v>
      </c>
      <c r="G80" s="114"/>
      <c r="H80" s="158">
        <f>(H79+H81)/2</f>
        <v>6.1</v>
      </c>
      <c r="I80" s="110">
        <v>0.14000000000000001</v>
      </c>
      <c r="J80" s="158">
        <f>(J79+J81)/2</f>
        <v>5.0500000000000007</v>
      </c>
      <c r="K80" s="154">
        <f>H80*0.15873+I80*7.042254+J80*0.079365</f>
        <v>2.3549618100000003</v>
      </c>
      <c r="L80" s="114"/>
      <c r="M80" s="110"/>
      <c r="N80" s="115">
        <v>3.6749999999999998</v>
      </c>
      <c r="O80" s="150">
        <f t="shared" si="13"/>
        <v>0.94716509999999998</v>
      </c>
      <c r="P80" s="116"/>
      <c r="Q80" s="115">
        <f>(F80+K80+O80)*0.05</f>
        <v>0.8257442906250001</v>
      </c>
      <c r="R80" s="115">
        <f>F80+K80+O80+Q80</f>
        <v>17.340630103125001</v>
      </c>
      <c r="S80" s="115">
        <v>0.74626865671641784</v>
      </c>
      <c r="T80" s="115">
        <v>18</v>
      </c>
      <c r="U80" s="150">
        <f t="shared" si="14"/>
        <v>232.93383720615671</v>
      </c>
      <c r="Z80">
        <v>1806</v>
      </c>
      <c r="AA80" s="35">
        <v>17.340630103125001</v>
      </c>
      <c r="AB80" s="35">
        <v>2.3293383720615672</v>
      </c>
    </row>
    <row r="81" spans="1:28">
      <c r="A81" s="110">
        <v>1807</v>
      </c>
      <c r="B81" s="158">
        <f>(B80+B82)/2</f>
        <v>5.3737499999999994</v>
      </c>
      <c r="C81" s="158">
        <f>(C80+C82)/2</f>
        <v>3.9E-2</v>
      </c>
      <c r="D81" s="158">
        <f>(D80+D82)/2</f>
        <v>0.15625</v>
      </c>
      <c r="E81" s="158">
        <f>(E80+E82)/2</f>
        <v>0.4</v>
      </c>
      <c r="F81" s="152">
        <f t="shared" si="12"/>
        <v>13.890880751249998</v>
      </c>
      <c r="G81" s="114"/>
      <c r="H81" s="110">
        <f>0.15*40</f>
        <v>6</v>
      </c>
      <c r="I81" s="110">
        <v>0.14000000000000001</v>
      </c>
      <c r="J81" s="159">
        <f>(J79+J83)/2</f>
        <v>3.7</v>
      </c>
      <c r="K81" s="154">
        <f>H81*0.15873+I81*7.042254+J81*0.079365</f>
        <v>2.2319460600000003</v>
      </c>
      <c r="L81" s="114"/>
      <c r="M81" s="110"/>
      <c r="N81" s="115"/>
      <c r="O81" s="158">
        <f>(O80+O82)/2</f>
        <v>1.1920105000000001</v>
      </c>
      <c r="P81" s="155"/>
      <c r="Q81" s="115">
        <f>(F81+K81+O81)*0.05</f>
        <v>0.86574186556249999</v>
      </c>
      <c r="R81" s="115">
        <f>F81+K81+O81+Q81</f>
        <v>18.1805791768125</v>
      </c>
      <c r="S81" s="115">
        <v>0.67114093959731547</v>
      </c>
      <c r="T81" s="115">
        <v>18</v>
      </c>
      <c r="U81" s="150">
        <f t="shared" si="14"/>
        <v>219.63115784068793</v>
      </c>
      <c r="Z81">
        <v>1807</v>
      </c>
      <c r="AA81" s="35">
        <v>18.1805791768125</v>
      </c>
      <c r="AB81" s="35">
        <v>2.1963115784068794</v>
      </c>
    </row>
    <row r="82" spans="1:28">
      <c r="A82" s="110">
        <v>1808</v>
      </c>
      <c r="B82" s="111">
        <v>6</v>
      </c>
      <c r="C82" s="109">
        <v>5.5E-2</v>
      </c>
      <c r="D82" s="112">
        <v>8.7499999999999994E-2</v>
      </c>
      <c r="E82" s="115">
        <v>0.4</v>
      </c>
      <c r="F82" s="152">
        <f t="shared" si="12"/>
        <v>14.569002600000001</v>
      </c>
      <c r="G82" s="114"/>
      <c r="H82" s="110">
        <v>6.4</v>
      </c>
      <c r="I82" s="110"/>
      <c r="J82" s="110"/>
      <c r="K82" s="118"/>
      <c r="L82" s="114"/>
      <c r="M82" s="110"/>
      <c r="N82" s="115">
        <v>5.5750000000000002</v>
      </c>
      <c r="O82" s="150">
        <f t="shared" si="13"/>
        <v>1.4368559000000001</v>
      </c>
      <c r="P82" s="116"/>
      <c r="Q82" s="117"/>
      <c r="R82" s="110"/>
      <c r="S82" s="110"/>
      <c r="T82" s="115"/>
      <c r="U82" s="150"/>
      <c r="Z82">
        <v>1808</v>
      </c>
    </row>
    <row r="83" spans="1:28">
      <c r="A83" s="110">
        <v>1809</v>
      </c>
      <c r="B83" s="111">
        <v>6.5</v>
      </c>
      <c r="C83" s="109">
        <v>0.06</v>
      </c>
      <c r="D83" s="112">
        <v>0.25</v>
      </c>
      <c r="E83" s="115">
        <v>0.4</v>
      </c>
      <c r="F83" s="113">
        <f t="shared" si="12"/>
        <v>17.666706700000002</v>
      </c>
      <c r="G83" s="155">
        <f>F83*100/R83</f>
        <v>71.350025042982182</v>
      </c>
      <c r="H83" s="110">
        <v>7.6</v>
      </c>
      <c r="I83" s="110">
        <v>0.25</v>
      </c>
      <c r="J83" s="110">
        <v>1</v>
      </c>
      <c r="K83" s="154">
        <f>H83*0.15873+I83*7.042254+J83*0.079365</f>
        <v>3.0462765000000003</v>
      </c>
      <c r="L83" s="155">
        <f>K83*100/R83</f>
        <v>12.302910115264895</v>
      </c>
      <c r="M83" s="110"/>
      <c r="N83" s="115">
        <v>11.13</v>
      </c>
      <c r="O83" s="150">
        <f t="shared" si="13"/>
        <v>2.8685571600000004</v>
      </c>
      <c r="P83" s="155">
        <f>O83*100/R83</f>
        <v>11.58516007984815</v>
      </c>
      <c r="Q83" s="115">
        <f>(F83+K83+O83)*0.05</f>
        <v>1.1790770180000003</v>
      </c>
      <c r="R83" s="115">
        <f>F83+K83+O83+Q83</f>
        <v>24.760617378000006</v>
      </c>
      <c r="S83" s="115">
        <v>0.44843049327354262</v>
      </c>
      <c r="T83" s="115">
        <v>18</v>
      </c>
      <c r="U83" s="150">
        <f t="shared" ref="U83:U84" si="15">R83*S83*T83</f>
        <v>199.86148556233189</v>
      </c>
      <c r="Z83">
        <v>1809</v>
      </c>
      <c r="AA83" s="35">
        <v>24.760617378000006</v>
      </c>
      <c r="AB83" s="35">
        <v>1.998614855623319</v>
      </c>
    </row>
    <row r="84" spans="1:28">
      <c r="A84" s="110">
        <v>1810</v>
      </c>
      <c r="B84" s="160">
        <f>6.5/100*20+6.5</f>
        <v>7.8</v>
      </c>
      <c r="C84" s="109">
        <v>7.0000000000000007E-2</v>
      </c>
      <c r="D84" s="112">
        <f>(0.29+0.42)/2</f>
        <v>0.35499999999999998</v>
      </c>
      <c r="E84" s="115">
        <v>0.4</v>
      </c>
      <c r="F84" s="113">
        <f t="shared" si="12"/>
        <v>21.812201399999999</v>
      </c>
      <c r="G84" s="155">
        <f>F84*100/R84</f>
        <v>72.713224960855683</v>
      </c>
      <c r="H84" s="110">
        <v>12</v>
      </c>
      <c r="I84" s="110">
        <v>0.185</v>
      </c>
      <c r="J84" s="110">
        <v>9</v>
      </c>
      <c r="K84" s="154">
        <f>H84*0.15873+I84*7.042254+J84*0.079365</f>
        <v>3.92186199</v>
      </c>
      <c r="L84" s="155">
        <f>K84*100/R84</f>
        <v>13.073931783166971</v>
      </c>
      <c r="M84" s="110"/>
      <c r="N84" s="115">
        <v>11</v>
      </c>
      <c r="O84" s="150">
        <f t="shared" si="13"/>
        <v>2.8350520000000001</v>
      </c>
      <c r="P84" s="155">
        <f>O84*100/R84</f>
        <v>9.4509384940725809</v>
      </c>
      <c r="Q84" s="115">
        <f>(F84+K84+O84)*0.05</f>
        <v>1.4284557695000002</v>
      </c>
      <c r="R84" s="115">
        <f>F84+K84+O84+Q84</f>
        <v>29.997571159500001</v>
      </c>
      <c r="S84" s="115">
        <v>0.33</v>
      </c>
      <c r="T84" s="115">
        <v>18</v>
      </c>
      <c r="U84" s="150">
        <f t="shared" si="15"/>
        <v>178.18557268743001</v>
      </c>
      <c r="Z84">
        <v>1810</v>
      </c>
      <c r="AA84" s="35">
        <v>29.997571159500001</v>
      </c>
      <c r="AB84" s="35">
        <v>1.7818557268743</v>
      </c>
    </row>
    <row r="85" spans="1:28">
      <c r="A85" s="110">
        <v>1811</v>
      </c>
      <c r="B85" s="111">
        <f>7.8/100*15+7.5</f>
        <v>8.67</v>
      </c>
      <c r="C85" s="109"/>
      <c r="D85" s="112"/>
      <c r="E85" s="115">
        <v>0.4</v>
      </c>
      <c r="F85" s="113"/>
      <c r="G85" s="114"/>
      <c r="H85" s="110"/>
      <c r="I85" s="110"/>
      <c r="J85" s="110">
        <v>4.8</v>
      </c>
      <c r="K85" s="118"/>
      <c r="L85" s="114"/>
      <c r="M85" s="110"/>
      <c r="N85" s="115">
        <v>12</v>
      </c>
      <c r="O85" s="150">
        <f t="shared" si="13"/>
        <v>3.092784</v>
      </c>
      <c r="P85" s="155"/>
      <c r="Q85" s="117"/>
      <c r="R85" s="110"/>
      <c r="S85" s="110"/>
      <c r="T85" s="115"/>
      <c r="U85" s="150"/>
      <c r="Z85">
        <v>1811</v>
      </c>
    </row>
    <row r="86" spans="1:28">
      <c r="A86" s="110">
        <v>1812</v>
      </c>
      <c r="B86" s="111">
        <v>11.67</v>
      </c>
      <c r="C86" s="109">
        <v>9.7777777777777797E-2</v>
      </c>
      <c r="D86" s="112">
        <v>0.4366666666666667</v>
      </c>
      <c r="E86" s="110">
        <v>0.4</v>
      </c>
      <c r="F86" s="152">
        <f>2.110043*B86+12.19512*C86+12.19512*D86+E86*0.42735</f>
        <v>31.312755943333336</v>
      </c>
      <c r="G86" s="114"/>
      <c r="H86" s="110">
        <f>(9+9.93)/2</f>
        <v>9.4649999999999999</v>
      </c>
      <c r="I86" s="110">
        <v>0.26</v>
      </c>
      <c r="J86" s="110"/>
      <c r="K86" s="118"/>
      <c r="L86" s="114"/>
      <c r="M86" s="110"/>
      <c r="N86" s="115">
        <v>11.32</v>
      </c>
      <c r="O86" s="150">
        <f t="shared" si="13"/>
        <v>2.9175262400000004</v>
      </c>
      <c r="P86" s="155"/>
      <c r="Q86" s="117"/>
      <c r="R86" s="110"/>
      <c r="S86" s="110"/>
      <c r="T86" s="115"/>
      <c r="U86" s="150"/>
      <c r="Z86">
        <v>1812</v>
      </c>
    </row>
    <row r="87" spans="1:28">
      <c r="A87" s="110">
        <v>1813</v>
      </c>
      <c r="B87" s="111">
        <f>1.55*8</f>
        <v>12.4</v>
      </c>
      <c r="C87" s="109"/>
      <c r="D87" s="112">
        <v>0.43099999999999999</v>
      </c>
      <c r="E87" s="110"/>
      <c r="F87" s="152"/>
      <c r="G87" s="114"/>
      <c r="H87" s="110">
        <v>11.56</v>
      </c>
      <c r="I87" s="110">
        <v>0.32</v>
      </c>
      <c r="J87" s="110"/>
      <c r="K87" s="118"/>
      <c r="L87" s="114"/>
      <c r="M87" s="110"/>
      <c r="N87" s="115">
        <v>16</v>
      </c>
      <c r="O87" s="150">
        <f t="shared" si="13"/>
        <v>4.1237120000000003</v>
      </c>
      <c r="P87" s="155"/>
      <c r="Q87" s="117"/>
      <c r="R87" s="110"/>
      <c r="S87" s="110"/>
      <c r="T87" s="115"/>
      <c r="U87" s="150"/>
      <c r="Z87">
        <v>1813</v>
      </c>
    </row>
    <row r="88" spans="1:28">
      <c r="A88" s="110">
        <v>1814</v>
      </c>
      <c r="B88" s="111"/>
      <c r="C88" s="109"/>
      <c r="D88" s="112"/>
      <c r="E88" s="110"/>
      <c r="F88" s="152"/>
      <c r="G88" s="114"/>
      <c r="H88" s="110">
        <v>19.39</v>
      </c>
      <c r="I88" s="110">
        <v>0.25600000000000001</v>
      </c>
      <c r="J88" s="110"/>
      <c r="K88" s="118"/>
      <c r="L88" s="114"/>
      <c r="M88" s="110"/>
      <c r="N88" s="115">
        <v>17.77</v>
      </c>
      <c r="O88" s="150">
        <f t="shared" si="13"/>
        <v>4.5798976400000004</v>
      </c>
      <c r="P88" s="155"/>
      <c r="Q88" s="117"/>
      <c r="R88" s="110"/>
      <c r="S88" s="110"/>
      <c r="T88" s="115"/>
      <c r="U88" s="150"/>
      <c r="Z88">
        <v>1814</v>
      </c>
    </row>
    <row r="89" spans="1:28">
      <c r="A89" s="110">
        <v>1815</v>
      </c>
      <c r="B89" s="111">
        <f>1.15*8</f>
        <v>9.1999999999999993</v>
      </c>
      <c r="C89" s="109">
        <f>(0.1+0.09+0.07)/3</f>
        <v>8.666666666666667E-2</v>
      </c>
      <c r="D89" s="112">
        <v>0.45</v>
      </c>
      <c r="E89" s="110">
        <v>1.72</v>
      </c>
      <c r="F89" s="152">
        <f>2.110043*B89+12.19512*C89+12.19512*D89+E89*0.42735</f>
        <v>26.692152</v>
      </c>
      <c r="G89" s="114"/>
      <c r="H89" s="110">
        <v>18.05</v>
      </c>
      <c r="I89" s="110">
        <v>0.32</v>
      </c>
      <c r="J89" s="110">
        <v>19.8</v>
      </c>
      <c r="K89" s="154">
        <f>H89*0.15873+I89*7.042254+J89*0.079365</f>
        <v>6.6900247799999999</v>
      </c>
      <c r="L89" s="114"/>
      <c r="M89" s="110"/>
      <c r="N89" s="115">
        <f>(19.83+13)/2</f>
        <v>16.414999999999999</v>
      </c>
      <c r="O89" s="150">
        <f t="shared" si="13"/>
        <v>4.2306707799999996</v>
      </c>
      <c r="P89" s="116"/>
      <c r="Q89" s="115">
        <f>(F89+K89+O89)*0.05</f>
        <v>1.8806423780000001</v>
      </c>
      <c r="R89" s="115">
        <f>F89+K89+O89+Q89</f>
        <v>39.493489937999996</v>
      </c>
      <c r="S89" s="115">
        <v>0.2</v>
      </c>
      <c r="T89" s="115">
        <v>18</v>
      </c>
      <c r="U89" s="150">
        <f>R89*S89*T89</f>
        <v>142.17656377679998</v>
      </c>
      <c r="Z89">
        <v>1815</v>
      </c>
      <c r="AA89" s="35">
        <v>39.493489937999996</v>
      </c>
      <c r="AB89" s="35">
        <v>1.4217656377679999</v>
      </c>
    </row>
    <row r="90" spans="1:28">
      <c r="A90" s="110">
        <v>1816</v>
      </c>
      <c r="B90" s="111"/>
      <c r="C90" s="109"/>
      <c r="D90" s="112"/>
      <c r="E90" s="110"/>
      <c r="F90" s="113"/>
      <c r="G90" s="114"/>
      <c r="H90" s="110"/>
      <c r="I90" s="110"/>
      <c r="J90" s="110"/>
      <c r="K90" s="118"/>
      <c r="L90" s="114"/>
      <c r="M90" s="110"/>
      <c r="N90" s="115"/>
      <c r="O90" s="109"/>
      <c r="P90" s="116"/>
      <c r="Q90" s="117"/>
      <c r="R90" s="110"/>
      <c r="S90" s="110"/>
      <c r="T90" s="110"/>
      <c r="U90" s="150"/>
      <c r="Z90">
        <v>1816</v>
      </c>
    </row>
    <row r="91" spans="1:28">
      <c r="A91" s="110">
        <v>1817</v>
      </c>
      <c r="B91" s="111"/>
      <c r="C91" s="109"/>
      <c r="D91" s="112"/>
      <c r="E91" s="110"/>
      <c r="F91" s="113"/>
      <c r="G91" s="114"/>
      <c r="H91" s="110"/>
      <c r="I91" s="110"/>
      <c r="J91" s="110"/>
      <c r="K91" s="118"/>
      <c r="L91" s="114"/>
      <c r="M91" s="110"/>
      <c r="N91" s="115"/>
      <c r="O91" s="109"/>
      <c r="P91" s="116"/>
      <c r="Q91" s="117"/>
      <c r="R91" s="110"/>
      <c r="S91" s="110"/>
      <c r="T91" s="110"/>
      <c r="U91" s="150"/>
      <c r="Z91">
        <v>1817</v>
      </c>
    </row>
    <row r="92" spans="1:28">
      <c r="A92" s="110">
        <v>1818</v>
      </c>
      <c r="B92" s="111"/>
      <c r="C92" s="109"/>
      <c r="D92" s="112"/>
      <c r="E92" s="110"/>
      <c r="F92" s="113"/>
      <c r="G92" s="114"/>
      <c r="H92" s="110"/>
      <c r="I92" s="110"/>
      <c r="J92" s="110"/>
      <c r="K92" s="118"/>
      <c r="L92" s="114"/>
      <c r="M92" s="110"/>
      <c r="N92" s="115"/>
      <c r="O92" s="109"/>
      <c r="P92" s="116"/>
      <c r="Q92" s="117"/>
      <c r="R92" s="110"/>
      <c r="S92" s="110"/>
      <c r="T92" s="110"/>
      <c r="U92" s="150"/>
      <c r="Z92">
        <v>1818</v>
      </c>
    </row>
    <row r="93" spans="1:28">
      <c r="A93" s="110">
        <v>1819</v>
      </c>
      <c r="B93" s="111"/>
      <c r="C93" s="109"/>
      <c r="D93" s="112"/>
      <c r="E93" s="110"/>
      <c r="F93" s="113"/>
      <c r="G93" s="114"/>
      <c r="H93" s="110"/>
      <c r="I93" s="110"/>
      <c r="J93" s="110"/>
      <c r="K93" s="118"/>
      <c r="L93" s="114"/>
      <c r="M93" s="110"/>
      <c r="N93" s="115"/>
      <c r="O93" s="109"/>
      <c r="P93" s="116"/>
      <c r="Q93" s="117"/>
      <c r="R93" s="110"/>
      <c r="S93" s="110"/>
      <c r="T93" s="110"/>
      <c r="U93" s="150"/>
      <c r="Z93">
        <v>1819</v>
      </c>
    </row>
    <row r="94" spans="1:28">
      <c r="A94" s="110">
        <v>1824</v>
      </c>
      <c r="B94" s="111">
        <v>10.290000000000001</v>
      </c>
      <c r="C94" s="109">
        <v>0.1032</v>
      </c>
      <c r="D94" s="112"/>
      <c r="E94" s="110"/>
      <c r="F94" s="113"/>
      <c r="G94" s="114"/>
      <c r="H94" s="110">
        <v>12.16</v>
      </c>
      <c r="I94" s="111"/>
      <c r="J94" s="110">
        <v>10.24</v>
      </c>
      <c r="K94" s="110"/>
      <c r="L94" s="114"/>
      <c r="M94" s="110"/>
      <c r="N94" s="115">
        <v>20</v>
      </c>
      <c r="O94" s="150">
        <f t="shared" ref="O94" si="16">N94*0.257732</f>
        <v>5.1546400000000006</v>
      </c>
      <c r="P94" s="155"/>
      <c r="Q94" s="117"/>
      <c r="R94" s="110"/>
      <c r="S94" s="110"/>
      <c r="T94" s="110"/>
      <c r="U94" s="150"/>
      <c r="Z94">
        <v>1824</v>
      </c>
    </row>
    <row r="95" spans="1:28">
      <c r="A95" s="110">
        <v>1825</v>
      </c>
      <c r="B95" s="111">
        <v>10.290000000000001</v>
      </c>
      <c r="C95" s="109">
        <v>0.1462</v>
      </c>
      <c r="D95" s="112">
        <v>0.35897435897435898</v>
      </c>
      <c r="E95" s="161"/>
      <c r="F95" s="113"/>
      <c r="G95" s="114"/>
      <c r="H95" s="110">
        <v>10.24</v>
      </c>
      <c r="I95" s="111"/>
      <c r="J95" s="110">
        <v>10.24</v>
      </c>
      <c r="K95" s="110"/>
      <c r="L95" s="114"/>
      <c r="M95" s="110"/>
      <c r="N95" s="115"/>
      <c r="O95" s="109"/>
      <c r="P95" s="116"/>
      <c r="Q95" s="117"/>
      <c r="R95" s="110"/>
      <c r="S95" s="110"/>
      <c r="T95" s="110"/>
      <c r="U95" s="150"/>
      <c r="Z95">
        <v>1825</v>
      </c>
    </row>
    <row r="96" spans="1:28">
      <c r="A96" s="110">
        <v>1826</v>
      </c>
      <c r="B96" s="111">
        <v>10.290000000000001</v>
      </c>
      <c r="C96" s="109">
        <v>0.1419</v>
      </c>
      <c r="D96" s="112">
        <v>0.34871794871794876</v>
      </c>
      <c r="E96" s="161"/>
      <c r="F96" s="113"/>
      <c r="G96" s="114"/>
      <c r="H96" s="110">
        <v>10.56</v>
      </c>
      <c r="I96" s="111"/>
      <c r="J96" s="110">
        <v>9.76</v>
      </c>
      <c r="K96" s="110"/>
      <c r="L96" s="114"/>
      <c r="M96" s="110"/>
      <c r="N96" s="115"/>
      <c r="O96" s="109"/>
      <c r="P96" s="116"/>
      <c r="Q96" s="117"/>
      <c r="R96" s="110"/>
      <c r="S96" s="110"/>
      <c r="T96" s="110"/>
      <c r="U96" s="150"/>
      <c r="Z96">
        <v>1826</v>
      </c>
    </row>
    <row r="97" spans="1:56">
      <c r="A97" s="110">
        <v>1827</v>
      </c>
      <c r="B97" s="111">
        <v>10.290000000000001</v>
      </c>
      <c r="C97" s="109">
        <v>0.1376</v>
      </c>
      <c r="D97" s="112">
        <v>0.33846153846153848</v>
      </c>
      <c r="E97" s="161"/>
      <c r="F97" s="113"/>
      <c r="G97" s="114"/>
      <c r="H97" s="110">
        <v>10.72</v>
      </c>
      <c r="I97" s="111">
        <v>6.2763319444444443</v>
      </c>
      <c r="J97" s="110">
        <v>9.2799999999999994</v>
      </c>
      <c r="K97" s="154">
        <f>H97*0.15873+I97*7.042254+J97*0.079365</f>
        <v>46.637616541091667</v>
      </c>
      <c r="L97" s="114"/>
      <c r="M97" s="110"/>
      <c r="N97" s="115">
        <v>22</v>
      </c>
      <c r="O97" s="150">
        <f t="shared" ref="O97:O100" si="17">N97*0.257732</f>
        <v>5.6701040000000003</v>
      </c>
      <c r="P97" s="155"/>
      <c r="Q97" s="117"/>
      <c r="R97" s="110"/>
      <c r="S97" s="110"/>
      <c r="T97" s="110"/>
      <c r="U97" s="150"/>
      <c r="Z97">
        <v>1827</v>
      </c>
    </row>
    <row r="98" spans="1:56" s="42" customFormat="1">
      <c r="A98" s="110">
        <v>1828</v>
      </c>
      <c r="B98" s="111">
        <v>7.3500000000000005</v>
      </c>
      <c r="C98" s="109">
        <v>8.6000000000000007E-2</v>
      </c>
      <c r="D98" s="112">
        <v>0.29230769230769232</v>
      </c>
      <c r="E98" s="162">
        <v>2.2999999999999998</v>
      </c>
      <c r="F98" s="113">
        <f t="shared" ref="F98" si="18">2.110043*B98+12.19512*C98+12.19512*D98+E98*0.42735</f>
        <v>21.105228754615386</v>
      </c>
      <c r="G98" s="114"/>
      <c r="H98" s="110">
        <v>11.2</v>
      </c>
      <c r="I98" s="158">
        <f>(I97+I99)/2</f>
        <v>6.9039652777777771</v>
      </c>
      <c r="J98" s="110">
        <v>9.2799999999999994</v>
      </c>
      <c r="K98" s="154">
        <f>H98*0.15873+I98*7.042254+J98*0.079365</f>
        <v>51.133760293291665</v>
      </c>
      <c r="L98" s="114"/>
      <c r="M98" s="110"/>
      <c r="N98" s="115">
        <v>18.5</v>
      </c>
      <c r="O98" s="150">
        <f t="shared" si="17"/>
        <v>4.7680420000000003</v>
      </c>
      <c r="P98" s="155"/>
      <c r="Q98" s="115">
        <f>(F98+K98+O98)*0.05</f>
        <v>3.8503515523953524</v>
      </c>
      <c r="R98" s="115">
        <f>F98+K98+O98+Q98</f>
        <v>80.857382600302401</v>
      </c>
      <c r="S98" s="115">
        <v>0.27</v>
      </c>
      <c r="T98" s="115">
        <v>18</v>
      </c>
      <c r="U98" s="150">
        <f t="shared" ref="U98:U100" si="19">R98*S98*T98</f>
        <v>392.96687943746969</v>
      </c>
      <c r="V98"/>
      <c r="W98"/>
      <c r="X98"/>
      <c r="Y98"/>
      <c r="Z98">
        <v>1828</v>
      </c>
      <c r="AA98" s="35">
        <v>80.86</v>
      </c>
      <c r="AB98" s="35">
        <v>3.93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</row>
    <row r="99" spans="1:56" s="42" customFormat="1">
      <c r="A99" s="110">
        <v>1829</v>
      </c>
      <c r="B99" s="111">
        <v>8.82</v>
      </c>
      <c r="C99" s="109">
        <f>0.24*0.45</f>
        <v>0.108</v>
      </c>
      <c r="D99" s="112">
        <v>0.31128205128205128</v>
      </c>
      <c r="E99" s="161">
        <v>2.2999999999999998</v>
      </c>
      <c r="F99" s="113">
        <f t="shared" ref="F99:F102" si="20">2.110043*B99+12.19512*C99+12.19512*D99+E99*0.42735</f>
        <v>24.706679189230769</v>
      </c>
      <c r="G99" s="114"/>
      <c r="H99" s="110">
        <v>10.72</v>
      </c>
      <c r="I99" s="111">
        <v>7.5315986111111108</v>
      </c>
      <c r="J99" s="110">
        <v>9.2799999999999994</v>
      </c>
      <c r="K99" s="154">
        <f>H99*0.15873+I99*7.042254+J99*0.079365</f>
        <v>55.47752324549166</v>
      </c>
      <c r="L99" s="114"/>
      <c r="M99" s="110"/>
      <c r="N99" s="156">
        <f>(N98+N100)/2</f>
        <v>16.5</v>
      </c>
      <c r="O99" s="150">
        <f t="shared" si="17"/>
        <v>4.2525780000000006</v>
      </c>
      <c r="P99" s="116"/>
      <c r="Q99" s="115">
        <f>(F99+K99+O99)*0.05</f>
        <v>4.2218390217361224</v>
      </c>
      <c r="R99" s="115">
        <f>F99+K99+O99+Q99</f>
        <v>88.658619456458553</v>
      </c>
      <c r="S99" s="115">
        <v>0.27</v>
      </c>
      <c r="T99" s="115">
        <v>18</v>
      </c>
      <c r="U99" s="150">
        <f t="shared" si="19"/>
        <v>430.88089055838861</v>
      </c>
      <c r="V99"/>
      <c r="W99"/>
      <c r="X99"/>
      <c r="Y99"/>
      <c r="Z99">
        <v>1829</v>
      </c>
      <c r="AA99" s="35">
        <v>81.66</v>
      </c>
      <c r="AB99" s="35">
        <v>3.97</v>
      </c>
    </row>
    <row r="100" spans="1:56" s="120" customFormat="1">
      <c r="A100" s="119"/>
      <c r="B100" s="120">
        <v>6.25</v>
      </c>
      <c r="C100" s="121">
        <v>0.08</v>
      </c>
      <c r="D100" s="122">
        <v>0.28999999999999998</v>
      </c>
      <c r="E100" s="123">
        <v>2</v>
      </c>
      <c r="F100" s="123">
        <f t="shared" si="20"/>
        <v>18.55466315</v>
      </c>
      <c r="G100" s="119"/>
      <c r="H100" s="119">
        <v>10.75</v>
      </c>
      <c r="I100" s="111">
        <v>7.5315986111111108</v>
      </c>
      <c r="J100" s="110">
        <v>9.2799999999999994</v>
      </c>
      <c r="K100" s="154">
        <f>H100*0.15873+I100*7.042254+J100*0.079365</f>
        <v>55.482285145491659</v>
      </c>
      <c r="L100" s="119"/>
      <c r="M100" s="119"/>
      <c r="N100" s="124">
        <v>14.5</v>
      </c>
      <c r="O100" s="150">
        <f t="shared" si="17"/>
        <v>3.737114</v>
      </c>
      <c r="P100" s="125"/>
      <c r="Q100" s="115">
        <f>(F100+K100+O100)*0.05</f>
        <v>3.8887031147745832</v>
      </c>
      <c r="R100" s="115">
        <f>F100+K100+O100+Q100</f>
        <v>81.662765410266246</v>
      </c>
      <c r="S100" s="115">
        <v>0.27</v>
      </c>
      <c r="T100" s="115">
        <v>18</v>
      </c>
      <c r="U100" s="150">
        <f t="shared" si="19"/>
        <v>396.88103989389401</v>
      </c>
      <c r="V100" s="126" t="s">
        <v>592</v>
      </c>
      <c r="W100" s="126"/>
      <c r="X100" s="126"/>
      <c r="Y100" s="126"/>
      <c r="Z100" s="126">
        <v>1830</v>
      </c>
      <c r="AA100" s="127"/>
      <c r="AB100" s="127"/>
    </row>
    <row r="101" spans="1:56" s="42" customFormat="1">
      <c r="A101" s="110">
        <v>1830</v>
      </c>
      <c r="B101" s="111">
        <v>10.290000000000001</v>
      </c>
      <c r="C101" s="109">
        <v>9.8900000000000002E-2</v>
      </c>
      <c r="D101" s="112">
        <v>0.33025641025641028</v>
      </c>
      <c r="E101" s="161">
        <v>2.2999999999999998</v>
      </c>
      <c r="F101" s="113">
        <f t="shared" si="20"/>
        <v>27.928861391846159</v>
      </c>
      <c r="G101" s="114"/>
      <c r="H101" s="110">
        <v>10.72</v>
      </c>
      <c r="I101" s="111"/>
      <c r="J101" s="110">
        <v>10.08</v>
      </c>
      <c r="K101" s="110"/>
      <c r="L101" s="114"/>
      <c r="M101" s="110"/>
      <c r="N101" s="115"/>
      <c r="O101" s="109"/>
      <c r="P101" s="116"/>
      <c r="Q101" s="117"/>
      <c r="R101" s="110"/>
      <c r="S101" s="110"/>
      <c r="T101" s="110"/>
      <c r="U101" s="150"/>
      <c r="V101"/>
      <c r="W101"/>
      <c r="X101"/>
      <c r="Y101"/>
      <c r="Z101">
        <v>1831</v>
      </c>
      <c r="AA101" s="35"/>
      <c r="AB101" s="35"/>
    </row>
    <row r="102" spans="1:56" s="42" customFormat="1">
      <c r="A102" s="110">
        <v>1831</v>
      </c>
      <c r="B102" s="111">
        <v>13.229999999999999</v>
      </c>
      <c r="C102" s="109">
        <v>0.11610000000000001</v>
      </c>
      <c r="D102" s="112">
        <v>0.4102564102564103</v>
      </c>
      <c r="E102" s="161">
        <v>2.2999999999999998</v>
      </c>
      <c r="F102" s="113">
        <f t="shared" si="20"/>
        <v>35.317753475846153</v>
      </c>
      <c r="G102" s="114"/>
      <c r="H102" s="110">
        <v>11.2</v>
      </c>
      <c r="I102" s="111"/>
      <c r="J102" s="110">
        <v>10.72</v>
      </c>
      <c r="K102" s="110"/>
      <c r="L102" s="114"/>
      <c r="M102" s="110"/>
      <c r="N102" s="115">
        <v>18</v>
      </c>
      <c r="O102" s="150">
        <f t="shared" ref="O102" si="21">N102*0.257732</f>
        <v>4.639176</v>
      </c>
      <c r="P102" s="116"/>
      <c r="Q102" s="117"/>
      <c r="R102" s="110"/>
      <c r="S102" s="110"/>
      <c r="T102" s="110"/>
      <c r="U102" s="150"/>
      <c r="V102"/>
      <c r="W102"/>
      <c r="X102"/>
      <c r="Y102"/>
      <c r="Z102">
        <v>1832</v>
      </c>
      <c r="AA102" s="35"/>
      <c r="AB102" s="35"/>
    </row>
    <row r="103" spans="1:56" s="42" customFormat="1">
      <c r="A103" s="110">
        <v>1832</v>
      </c>
      <c r="B103" s="111">
        <v>17.64</v>
      </c>
      <c r="C103" s="109">
        <v>0.1333</v>
      </c>
      <c r="D103" s="112">
        <v>0.42307692307692307</v>
      </c>
      <c r="E103" s="161"/>
      <c r="F103" s="113"/>
      <c r="G103" s="114"/>
      <c r="H103" s="110">
        <v>13.44</v>
      </c>
      <c r="I103" s="111"/>
      <c r="J103" s="110">
        <v>10.88</v>
      </c>
      <c r="K103" s="110"/>
      <c r="L103" s="114"/>
      <c r="M103" s="110"/>
      <c r="N103" s="115"/>
      <c r="O103" s="109"/>
      <c r="P103" s="116"/>
      <c r="Q103" s="117"/>
      <c r="R103" s="110"/>
      <c r="S103" s="110"/>
      <c r="T103" s="110"/>
      <c r="U103" s="150"/>
      <c r="V103"/>
      <c r="W103"/>
      <c r="X103"/>
      <c r="Y103"/>
      <c r="Z103">
        <v>1833</v>
      </c>
      <c r="AA103" s="35"/>
      <c r="AB103" s="35"/>
    </row>
    <row r="104" spans="1:56" s="42" customFormat="1">
      <c r="A104" s="110">
        <v>1833</v>
      </c>
      <c r="B104" s="111">
        <v>23.52</v>
      </c>
      <c r="C104" s="109">
        <v>0.1462</v>
      </c>
      <c r="D104" s="112">
        <v>0.4358974358974359</v>
      </c>
      <c r="E104" s="161"/>
      <c r="F104" s="113"/>
      <c r="G104" s="114"/>
      <c r="H104" s="110">
        <v>15.68</v>
      </c>
      <c r="I104" s="111">
        <v>7.5315986111111108</v>
      </c>
      <c r="J104" s="110">
        <v>10.88</v>
      </c>
      <c r="K104" s="154">
        <f>H104*0.15873+I104*7.042254+J104*0.079365</f>
        <v>56.391808045491658</v>
      </c>
      <c r="L104" s="114"/>
      <c r="M104" s="110"/>
      <c r="N104" s="115">
        <v>19</v>
      </c>
      <c r="O104" s="150">
        <f t="shared" ref="O104" si="22">N104*0.257732</f>
        <v>4.8969080000000007</v>
      </c>
      <c r="P104" s="116"/>
      <c r="Q104" s="117"/>
      <c r="R104" s="110"/>
      <c r="S104" s="110"/>
      <c r="T104" s="110"/>
      <c r="U104" s="150"/>
      <c r="V104"/>
      <c r="W104"/>
      <c r="X104"/>
      <c r="Y104"/>
      <c r="Z104">
        <v>1834</v>
      </c>
      <c r="AA104" s="35"/>
      <c r="AB104" s="35"/>
    </row>
    <row r="105" spans="1:56" s="42" customFormat="1">
      <c r="A105" s="110">
        <v>1834</v>
      </c>
      <c r="B105" s="111">
        <v>20.580000000000002</v>
      </c>
      <c r="C105" s="109">
        <v>0.15049999999999999</v>
      </c>
      <c r="D105" s="112">
        <v>0.42735042735042733</v>
      </c>
      <c r="E105" s="161">
        <v>2.4</v>
      </c>
      <c r="F105" s="113">
        <f t="shared" ref="F105" si="23">2.110043*B105+12.19512*C105+12.19512*D105+E105*0.42735</f>
        <v>51.497280243589749</v>
      </c>
      <c r="G105" s="114"/>
      <c r="H105" s="110">
        <v>13.12</v>
      </c>
      <c r="I105" s="111"/>
      <c r="J105" s="110">
        <v>10.56</v>
      </c>
      <c r="K105" s="110"/>
      <c r="L105" s="114"/>
      <c r="M105" s="110"/>
      <c r="N105" s="115"/>
      <c r="O105" s="109"/>
      <c r="P105" s="116"/>
      <c r="Q105" s="117"/>
      <c r="R105" s="110"/>
      <c r="S105" s="110"/>
      <c r="T105" s="110"/>
      <c r="U105" s="150"/>
      <c r="V105"/>
      <c r="W105"/>
      <c r="X105"/>
      <c r="Y105"/>
      <c r="Z105">
        <v>1835</v>
      </c>
      <c r="AA105" s="35"/>
      <c r="AB105" s="35"/>
    </row>
    <row r="106" spans="1:56" s="42" customFormat="1">
      <c r="A106" s="110">
        <v>1835</v>
      </c>
      <c r="B106" s="111">
        <v>16.170000000000002</v>
      </c>
      <c r="C106" s="109">
        <v>0.15479999999999999</v>
      </c>
      <c r="D106" s="112">
        <v>0.41880341880341881</v>
      </c>
      <c r="E106" s="161"/>
      <c r="F106" s="113"/>
      <c r="G106" s="114"/>
      <c r="H106" s="110">
        <v>10.72</v>
      </c>
      <c r="I106" s="111"/>
      <c r="J106" s="110">
        <v>10.08</v>
      </c>
      <c r="K106" s="110"/>
      <c r="L106" s="114"/>
      <c r="M106" s="110"/>
      <c r="N106" s="115"/>
      <c r="O106" s="109"/>
      <c r="P106" s="116"/>
      <c r="Q106" s="117"/>
      <c r="R106" s="110"/>
      <c r="S106" s="110"/>
      <c r="T106" s="110"/>
      <c r="U106" s="150"/>
      <c r="V106"/>
      <c r="W106"/>
      <c r="X106"/>
      <c r="Y106"/>
      <c r="Z106">
        <v>1836</v>
      </c>
      <c r="AA106" s="35">
        <v>91.107330555189719</v>
      </c>
      <c r="AB106" s="35">
        <v>4.49</v>
      </c>
    </row>
    <row r="107" spans="1:56" s="42" customFormat="1">
      <c r="A107" s="110">
        <v>1836</v>
      </c>
      <c r="B107" s="111">
        <v>11.76</v>
      </c>
      <c r="C107" s="109">
        <v>0.15909999999999999</v>
      </c>
      <c r="D107" s="112">
        <v>0.4102564102564103</v>
      </c>
      <c r="E107" s="161">
        <v>2.4</v>
      </c>
      <c r="F107" s="113">
        <f t="shared" ref="F107:F109" si="24">2.110043*B107+12.19512*C107+12.19512*D107+E107*0.42735</f>
        <v>32.783115425846155</v>
      </c>
      <c r="G107" s="114"/>
      <c r="H107" s="110">
        <v>12</v>
      </c>
      <c r="I107" s="111">
        <v>6.5901486111111121</v>
      </c>
      <c r="J107" s="110">
        <v>9.76</v>
      </c>
      <c r="K107" s="154">
        <f>H107*0.15873+I107*7.042254+J107*0.079365</f>
        <v>49.088862817191675</v>
      </c>
      <c r="L107" s="114"/>
      <c r="M107" s="110"/>
      <c r="N107" s="115">
        <v>19</v>
      </c>
      <c r="O107" s="150">
        <f t="shared" ref="O107" si="25">N107*0.257732</f>
        <v>4.8969080000000007</v>
      </c>
      <c r="P107" s="116"/>
      <c r="Q107" s="115">
        <f>(F107+K107+O107)*0.05</f>
        <v>4.3384443121518919</v>
      </c>
      <c r="R107" s="115">
        <f>F107+K107+O107+Q107</f>
        <v>91.107330555189719</v>
      </c>
      <c r="S107" s="110">
        <v>0.27400000000000002</v>
      </c>
      <c r="T107" s="115">
        <v>18</v>
      </c>
      <c r="U107" s="150">
        <f>R107*S107*T107</f>
        <v>449.34135429819571</v>
      </c>
      <c r="V107"/>
      <c r="W107"/>
      <c r="X107"/>
      <c r="Y107"/>
      <c r="Z107">
        <v>1837</v>
      </c>
      <c r="AA107" s="35"/>
      <c r="AB107" s="35"/>
    </row>
    <row r="108" spans="1:56" s="42" customFormat="1">
      <c r="A108" s="110">
        <v>1837</v>
      </c>
      <c r="B108" s="111">
        <v>11.76</v>
      </c>
      <c r="C108" s="109">
        <v>0.16770000000000002</v>
      </c>
      <c r="D108" s="112">
        <v>0.4358974358974359</v>
      </c>
      <c r="E108" s="161">
        <v>2.2999999999999998</v>
      </c>
      <c r="F108" s="113">
        <f t="shared" si="24"/>
        <v>33.157953842461538</v>
      </c>
      <c r="G108" s="114"/>
      <c r="H108" s="110">
        <v>12</v>
      </c>
      <c r="I108" s="111"/>
      <c r="J108" s="110">
        <v>9.76</v>
      </c>
      <c r="K108" s="110"/>
      <c r="L108" s="114"/>
      <c r="M108" s="110"/>
      <c r="N108" s="115"/>
      <c r="O108" s="109"/>
      <c r="P108" s="116"/>
      <c r="Q108" s="117"/>
      <c r="R108" s="110"/>
      <c r="S108" s="110"/>
      <c r="T108" s="110"/>
      <c r="U108" s="150"/>
      <c r="V108"/>
      <c r="W108"/>
      <c r="X108"/>
      <c r="Y108"/>
      <c r="Z108">
        <v>1838</v>
      </c>
      <c r="AA108" s="35"/>
      <c r="AB108" s="35"/>
    </row>
    <row r="109" spans="1:56" s="42" customFormat="1">
      <c r="A109" s="110">
        <v>1838</v>
      </c>
      <c r="B109" s="111">
        <v>10.290000000000001</v>
      </c>
      <c r="C109" s="109">
        <v>0.18059999999999998</v>
      </c>
      <c r="D109" s="112">
        <v>0.46153846153846156</v>
      </c>
      <c r="E109" s="161">
        <v>2.2000000000000002</v>
      </c>
      <c r="F109" s="113">
        <f t="shared" si="24"/>
        <v>30.483468065076924</v>
      </c>
      <c r="G109" s="114"/>
      <c r="H109" s="110">
        <v>11.52</v>
      </c>
      <c r="I109" s="111"/>
      <c r="J109" s="110">
        <v>9.76</v>
      </c>
      <c r="K109" s="110"/>
      <c r="L109" s="114"/>
      <c r="M109" s="110"/>
      <c r="N109" s="115"/>
      <c r="O109" s="109"/>
      <c r="P109" s="116"/>
      <c r="Q109" s="117"/>
      <c r="R109" s="110"/>
      <c r="S109" s="110"/>
      <c r="T109" s="110"/>
      <c r="U109" s="109"/>
      <c r="V109"/>
      <c r="W109"/>
      <c r="X109"/>
      <c r="Y109"/>
      <c r="Z109">
        <v>1839</v>
      </c>
      <c r="AA109" s="35"/>
      <c r="AB109" s="35"/>
    </row>
    <row r="110" spans="1:56" s="42" customFormat="1">
      <c r="A110" s="110">
        <v>1839</v>
      </c>
      <c r="B110" s="111">
        <v>10.290000000000001</v>
      </c>
      <c r="C110" s="109">
        <v>0.12040000000000001</v>
      </c>
      <c r="D110" s="112">
        <v>0.30769230769230771</v>
      </c>
      <c r="E110" s="161"/>
      <c r="F110" s="113"/>
      <c r="G110" s="114"/>
      <c r="H110" s="110">
        <v>7.68</v>
      </c>
      <c r="I110" s="111"/>
      <c r="J110" s="110">
        <v>8.16</v>
      </c>
      <c r="K110" s="110"/>
      <c r="L110" s="114"/>
      <c r="M110" s="110"/>
      <c r="N110" s="115"/>
      <c r="O110" s="109"/>
      <c r="P110" s="116"/>
      <c r="Q110" s="117"/>
      <c r="R110" s="110"/>
      <c r="S110" s="110"/>
      <c r="T110" s="110"/>
      <c r="U110" s="109"/>
      <c r="V110"/>
      <c r="W110"/>
      <c r="X110"/>
      <c r="Y110"/>
      <c r="Z110">
        <v>1840</v>
      </c>
      <c r="AA110" s="35"/>
      <c r="AB110" s="35"/>
    </row>
    <row r="111" spans="1:56" s="42" customFormat="1">
      <c r="A111" s="110">
        <v>1840</v>
      </c>
      <c r="B111" s="111">
        <v>8.82</v>
      </c>
      <c r="C111" s="109">
        <v>6.4500000000000002E-2</v>
      </c>
      <c r="D111" s="112">
        <v>0.15384615384615385</v>
      </c>
      <c r="E111" s="161"/>
      <c r="F111" s="113"/>
      <c r="G111" s="114"/>
      <c r="H111" s="110">
        <v>4</v>
      </c>
      <c r="I111" s="111"/>
      <c r="J111" s="110">
        <v>6.56</v>
      </c>
      <c r="K111" s="110"/>
      <c r="L111" s="114"/>
      <c r="M111" s="110"/>
      <c r="N111" s="115"/>
      <c r="O111" s="109"/>
      <c r="P111" s="116"/>
      <c r="Q111" s="117"/>
      <c r="R111" s="110"/>
      <c r="S111" s="110"/>
      <c r="T111" s="110"/>
      <c r="U111" s="109"/>
      <c r="V111"/>
      <c r="W111"/>
      <c r="X111"/>
      <c r="Y111"/>
      <c r="Z111">
        <v>1841</v>
      </c>
      <c r="AA111" s="35"/>
      <c r="AB111" s="35"/>
    </row>
    <row r="112" spans="1:56" s="42" customFormat="1">
      <c r="A112" s="110">
        <v>1841</v>
      </c>
      <c r="B112" s="111">
        <v>10.290000000000001</v>
      </c>
      <c r="C112" s="109">
        <v>6.4500000000000002E-2</v>
      </c>
      <c r="D112" s="112">
        <v>0.16410256410256413</v>
      </c>
      <c r="E112" s="161"/>
      <c r="F112" s="113"/>
      <c r="G112" s="114"/>
      <c r="H112" s="110">
        <v>3.84</v>
      </c>
      <c r="I112" s="111"/>
      <c r="J112" s="110">
        <v>4.96</v>
      </c>
      <c r="K112" s="110"/>
      <c r="L112" s="114"/>
      <c r="M112" s="110"/>
      <c r="N112" s="115"/>
      <c r="O112" s="109"/>
      <c r="P112" s="116"/>
      <c r="Q112" s="117"/>
      <c r="R112" s="110"/>
      <c r="S112" s="110"/>
      <c r="T112" s="110"/>
      <c r="U112" s="109"/>
      <c r="V112"/>
      <c r="W112"/>
      <c r="X112"/>
      <c r="Y112"/>
      <c r="Z112">
        <v>1842</v>
      </c>
      <c r="AA112" s="35"/>
      <c r="AB112" s="35"/>
    </row>
    <row r="113" spans="1:28" s="42" customFormat="1">
      <c r="A113" s="110">
        <v>1842</v>
      </c>
      <c r="B113" s="111">
        <v>5.88</v>
      </c>
      <c r="C113" s="109">
        <v>6.4500000000000002E-2</v>
      </c>
      <c r="D113" s="112">
        <v>0.15384615384615385</v>
      </c>
      <c r="E113" s="161"/>
      <c r="F113" s="113"/>
      <c r="G113" s="114"/>
      <c r="H113" s="110">
        <v>3.84</v>
      </c>
      <c r="I113" s="111"/>
      <c r="J113" s="110">
        <v>3.36</v>
      </c>
      <c r="K113" s="110"/>
      <c r="L113" s="114"/>
      <c r="M113" s="110"/>
      <c r="N113" s="115"/>
      <c r="O113" s="109"/>
      <c r="P113" s="116"/>
      <c r="Q113" s="117"/>
      <c r="R113" s="110"/>
      <c r="S113" s="110"/>
      <c r="T113" s="110"/>
      <c r="U113" s="109"/>
      <c r="V113"/>
      <c r="W113"/>
      <c r="X113"/>
      <c r="Y113"/>
      <c r="Z113">
        <v>1843</v>
      </c>
      <c r="AA113" s="35"/>
      <c r="AB113" s="35"/>
    </row>
    <row r="114" spans="1:28" s="42" customFormat="1">
      <c r="A114" s="110">
        <v>1843</v>
      </c>
      <c r="B114" s="111">
        <v>7.3500000000000005</v>
      </c>
      <c r="C114" s="109">
        <v>5.16E-2</v>
      </c>
      <c r="D114" s="112">
        <v>0.14358974358974361</v>
      </c>
      <c r="E114" s="161"/>
      <c r="F114" s="113"/>
      <c r="G114" s="114"/>
      <c r="H114" s="110">
        <v>3.84</v>
      </c>
      <c r="I114" s="111"/>
      <c r="J114" s="110">
        <v>3.2</v>
      </c>
      <c r="K114" s="110"/>
      <c r="L114" s="114"/>
      <c r="M114" s="110"/>
      <c r="N114" s="115"/>
      <c r="O114" s="109"/>
      <c r="P114" s="116"/>
      <c r="Q114" s="117"/>
      <c r="R114" s="110"/>
      <c r="S114" s="110"/>
      <c r="T114" s="110"/>
      <c r="U114" s="109"/>
      <c r="V114"/>
      <c r="W114"/>
      <c r="X114"/>
      <c r="Y114"/>
      <c r="Z114">
        <v>1844</v>
      </c>
      <c r="AA114" s="35"/>
      <c r="AB114" s="35"/>
    </row>
    <row r="115" spans="1:28" s="42" customFormat="1">
      <c r="A115" s="110">
        <v>1844</v>
      </c>
      <c r="B115" s="111">
        <v>8.82</v>
      </c>
      <c r="C115" s="109">
        <v>4.3000000000000003E-2</v>
      </c>
      <c r="D115" s="112">
        <v>0.15384615384615385</v>
      </c>
      <c r="E115" s="161"/>
      <c r="F115" s="113"/>
      <c r="G115" s="114"/>
      <c r="H115" s="110">
        <v>3.84</v>
      </c>
      <c r="I115" s="111"/>
      <c r="J115" s="110">
        <v>3.04</v>
      </c>
      <c r="K115" s="110"/>
      <c r="L115" s="114"/>
      <c r="M115" s="110"/>
      <c r="N115" s="115"/>
      <c r="O115" s="109"/>
      <c r="P115" s="116"/>
      <c r="Q115" s="117"/>
      <c r="R115" s="110"/>
      <c r="S115" s="110"/>
      <c r="T115" s="110"/>
      <c r="U115" s="109"/>
      <c r="V115"/>
      <c r="W115"/>
      <c r="X115"/>
      <c r="Y115"/>
      <c r="Z115">
        <v>1845</v>
      </c>
      <c r="AA115" s="35"/>
      <c r="AB115" s="35"/>
    </row>
    <row r="116" spans="1:28" s="42" customFormat="1">
      <c r="A116" s="110">
        <v>1845</v>
      </c>
      <c r="B116" s="111">
        <v>5.88</v>
      </c>
      <c r="C116" s="109">
        <v>3.8699999999999998E-2</v>
      </c>
      <c r="D116" s="112">
        <v>0.1483974358974359</v>
      </c>
      <c r="E116" s="161"/>
      <c r="F116" s="113"/>
      <c r="G116" s="114"/>
      <c r="H116" s="110">
        <v>3.84</v>
      </c>
      <c r="I116" s="111"/>
      <c r="J116" s="110">
        <v>2.88</v>
      </c>
      <c r="K116" s="110"/>
      <c r="L116" s="114"/>
      <c r="M116" s="110"/>
      <c r="N116" s="115"/>
      <c r="O116" s="109"/>
      <c r="P116" s="116"/>
      <c r="Q116" s="117"/>
      <c r="R116" s="110"/>
      <c r="S116" s="110"/>
      <c r="T116" s="110"/>
      <c r="U116" s="109"/>
      <c r="V116"/>
      <c r="W116"/>
      <c r="X116"/>
      <c r="Y116"/>
      <c r="Z116">
        <v>1846</v>
      </c>
      <c r="AA116" s="35"/>
      <c r="AB116" s="35"/>
    </row>
    <row r="117" spans="1:28" s="42" customFormat="1">
      <c r="A117" s="110">
        <v>1846</v>
      </c>
      <c r="B117" s="111">
        <v>2.94</v>
      </c>
      <c r="C117" s="109">
        <v>3.8699999999999998E-2</v>
      </c>
      <c r="D117" s="112">
        <v>0.14294871794871794</v>
      </c>
      <c r="E117" s="161">
        <v>0.72</v>
      </c>
      <c r="F117" s="113">
        <f t="shared" ref="F117" si="26">2.110043*B117+12.19512*C117+12.19512*D117+E117*0.42735</f>
        <v>8.7264463332307685</v>
      </c>
      <c r="G117" s="114"/>
      <c r="H117" s="110">
        <v>3.84</v>
      </c>
      <c r="I117" s="111">
        <v>1.5690833333333334</v>
      </c>
      <c r="J117" s="110">
        <v>2.72</v>
      </c>
      <c r="K117" s="154">
        <f>H117*0.15873+I117*7.042254+J117*0.079365</f>
        <v>11.8752793805</v>
      </c>
      <c r="L117" s="114"/>
      <c r="M117" s="110"/>
      <c r="N117" s="115"/>
      <c r="O117" s="109"/>
      <c r="P117" s="116"/>
      <c r="Q117" s="117"/>
      <c r="R117" s="110"/>
      <c r="S117" s="110"/>
      <c r="T117" s="110"/>
      <c r="U117" s="109"/>
      <c r="V117"/>
      <c r="W117"/>
      <c r="X117"/>
      <c r="Y117"/>
      <c r="Z117">
        <v>1847</v>
      </c>
      <c r="AA117" s="35"/>
      <c r="AB117" s="35"/>
    </row>
    <row r="118" spans="1:28" s="42" customFormat="1">
      <c r="A118" s="110">
        <v>1847</v>
      </c>
      <c r="B118" s="111">
        <v>4.41</v>
      </c>
      <c r="C118" s="109">
        <v>4.7300000000000002E-2</v>
      </c>
      <c r="D118" s="112">
        <v>0.13749999999999998</v>
      </c>
      <c r="E118" s="161"/>
      <c r="F118" s="113"/>
      <c r="G118" s="114"/>
      <c r="H118" s="110">
        <v>3.84</v>
      </c>
      <c r="I118" s="111">
        <v>0</v>
      </c>
      <c r="J118" s="110">
        <v>2.72</v>
      </c>
      <c r="K118" s="110"/>
      <c r="L118" s="114"/>
      <c r="M118" s="110"/>
      <c r="N118" s="115"/>
      <c r="O118" s="109"/>
      <c r="P118" s="116"/>
      <c r="Q118" s="117"/>
      <c r="R118" s="110"/>
      <c r="S118" s="110"/>
      <c r="T118" s="110"/>
      <c r="U118" s="109"/>
      <c r="V118"/>
      <c r="W118"/>
      <c r="X118"/>
      <c r="Y118"/>
      <c r="Z118">
        <v>1848</v>
      </c>
      <c r="AA118" s="35"/>
      <c r="AB118" s="35"/>
    </row>
    <row r="119" spans="1:28" s="42" customFormat="1">
      <c r="A119" s="110">
        <v>1848</v>
      </c>
      <c r="B119" s="111">
        <v>2.94</v>
      </c>
      <c r="C119" s="109">
        <v>5.16E-2</v>
      </c>
      <c r="D119" s="112">
        <v>0.13205128205128205</v>
      </c>
      <c r="E119" s="161"/>
      <c r="F119" s="113"/>
      <c r="G119" s="114"/>
      <c r="H119" s="110">
        <v>3.68</v>
      </c>
      <c r="I119" s="111">
        <v>0</v>
      </c>
      <c r="J119" s="110">
        <v>2.72</v>
      </c>
      <c r="K119" s="110"/>
      <c r="L119" s="114"/>
      <c r="M119" s="110"/>
      <c r="N119" s="115"/>
      <c r="O119" s="109"/>
      <c r="P119" s="116"/>
      <c r="Q119" s="117"/>
      <c r="R119" s="110"/>
      <c r="S119" s="110"/>
      <c r="T119" s="110"/>
      <c r="U119" s="109"/>
      <c r="V119"/>
      <c r="W119"/>
      <c r="X119"/>
      <c r="Y119"/>
      <c r="Z119">
        <v>1849</v>
      </c>
      <c r="AA119" s="35"/>
      <c r="AB119" s="35"/>
    </row>
    <row r="120" spans="1:28" s="42" customFormat="1">
      <c r="A120" s="110">
        <v>1849</v>
      </c>
      <c r="B120" s="111">
        <v>2.94</v>
      </c>
      <c r="C120" s="109">
        <v>5.16E-2</v>
      </c>
      <c r="D120" s="112">
        <v>0.11730769230769231</v>
      </c>
      <c r="E120" s="161"/>
      <c r="F120" s="113"/>
      <c r="G120" s="114"/>
      <c r="H120" s="110">
        <v>3.68</v>
      </c>
      <c r="I120" s="111">
        <v>0</v>
      </c>
      <c r="J120" s="110">
        <v>2.88</v>
      </c>
      <c r="K120" s="110"/>
      <c r="L120" s="114"/>
      <c r="M120" s="110"/>
      <c r="N120" s="115"/>
      <c r="O120" s="109"/>
      <c r="P120" s="116"/>
      <c r="Q120" s="117"/>
      <c r="R120" s="110"/>
      <c r="S120" s="110"/>
      <c r="T120" s="110"/>
      <c r="U120" s="109"/>
      <c r="V120"/>
      <c r="W120"/>
      <c r="X120"/>
      <c r="Y120"/>
      <c r="Z120">
        <v>1850</v>
      </c>
      <c r="AA120" s="35"/>
      <c r="AB120" s="35"/>
    </row>
    <row r="121" spans="1:28" s="42" customFormat="1">
      <c r="A121" s="110">
        <v>1850</v>
      </c>
      <c r="B121" s="111">
        <v>2.94</v>
      </c>
      <c r="C121" s="109">
        <v>4.7300000000000002E-2</v>
      </c>
      <c r="D121" s="112">
        <v>0.10256410256410257</v>
      </c>
      <c r="E121" s="161">
        <v>2.2000000000000002</v>
      </c>
      <c r="F121" s="113">
        <f t="shared" ref="F121" si="27">2.110043*B121+12.19512*C121+12.19512*D121+E121*0.42735</f>
        <v>8.9713071344615383</v>
      </c>
      <c r="G121" s="114"/>
      <c r="H121" s="110">
        <v>3.52</v>
      </c>
      <c r="I121" s="111">
        <v>0</v>
      </c>
      <c r="J121" s="110">
        <v>2.88</v>
      </c>
      <c r="K121" s="110"/>
      <c r="L121" s="114"/>
      <c r="M121" s="110"/>
      <c r="N121" s="115"/>
      <c r="O121" s="109"/>
      <c r="P121" s="116"/>
      <c r="Q121" s="117"/>
      <c r="R121" s="110"/>
      <c r="S121" s="110"/>
      <c r="T121" s="110"/>
      <c r="U121" s="109"/>
      <c r="V121"/>
      <c r="W121"/>
      <c r="X121"/>
      <c r="Y121"/>
      <c r="Z121">
        <v>1851</v>
      </c>
      <c r="AA121" s="35"/>
      <c r="AB121" s="35"/>
    </row>
    <row r="122" spans="1:28" s="42" customFormat="1">
      <c r="A122" s="110">
        <v>1851</v>
      </c>
      <c r="B122" s="111">
        <v>4.41</v>
      </c>
      <c r="C122" s="109">
        <v>4.7300000000000002E-2</v>
      </c>
      <c r="D122" s="112">
        <v>0.16410256410256413</v>
      </c>
      <c r="E122" s="161"/>
      <c r="F122" s="113"/>
      <c r="G122" s="114"/>
      <c r="H122" s="110">
        <v>3.36</v>
      </c>
      <c r="I122" s="111">
        <v>1.8829</v>
      </c>
      <c r="J122" s="110">
        <v>2.88</v>
      </c>
      <c r="K122" s="154">
        <f>H122*0.15873+I122*7.042254+J122*0.079365</f>
        <v>14.021764056599999</v>
      </c>
      <c r="L122" s="114"/>
      <c r="M122" s="110"/>
      <c r="N122" s="115">
        <v>11.5</v>
      </c>
      <c r="O122" s="150">
        <f t="shared" ref="O122" si="28">N122*0.257732</f>
        <v>2.9639180000000001</v>
      </c>
      <c r="P122" s="116"/>
      <c r="Q122" s="117"/>
      <c r="R122" s="115"/>
      <c r="S122" s="110"/>
      <c r="T122" s="110"/>
      <c r="U122" s="109"/>
      <c r="V122"/>
      <c r="W122"/>
      <c r="X122"/>
      <c r="Y122"/>
      <c r="Z122">
        <v>1852</v>
      </c>
      <c r="AA122" s="35"/>
      <c r="AB122" s="35"/>
    </row>
    <row r="123" spans="1:28" s="42" customFormat="1">
      <c r="A123" s="110">
        <v>1852</v>
      </c>
      <c r="B123" s="111">
        <v>4.41</v>
      </c>
      <c r="C123" s="109">
        <v>4.3000000000000003E-2</v>
      </c>
      <c r="D123" s="112">
        <v>0.15213675213675215</v>
      </c>
      <c r="E123" s="161">
        <v>0.7</v>
      </c>
      <c r="F123" s="113">
        <f t="shared" ref="F123:F185" si="29">2.110043*B123+12.19512*C123+12.19512*D123+E123*0.42735</f>
        <v>11.984150738717949</v>
      </c>
      <c r="G123" s="114"/>
      <c r="H123" s="110">
        <v>3.36</v>
      </c>
      <c r="I123" s="111">
        <v>0</v>
      </c>
      <c r="J123" s="110">
        <v>2.88</v>
      </c>
      <c r="K123" s="110"/>
      <c r="L123" s="114"/>
      <c r="M123" s="110"/>
      <c r="N123" s="115"/>
      <c r="O123" s="109"/>
      <c r="P123" s="116"/>
      <c r="Q123" s="117"/>
      <c r="R123" s="110"/>
      <c r="S123" s="110"/>
      <c r="T123" s="110"/>
      <c r="U123" s="109"/>
      <c r="V123"/>
      <c r="W123"/>
      <c r="X123"/>
      <c r="Y123"/>
      <c r="Z123">
        <v>1853</v>
      </c>
      <c r="AA123" s="35"/>
      <c r="AB123" s="35"/>
    </row>
    <row r="124" spans="1:28" s="42" customFormat="1">
      <c r="A124" s="110">
        <v>1853</v>
      </c>
      <c r="B124" s="111">
        <v>4.41</v>
      </c>
      <c r="C124" s="109">
        <v>5.16E-2</v>
      </c>
      <c r="D124" s="112">
        <v>0.14017094017094017</v>
      </c>
      <c r="E124" s="161">
        <v>0.7</v>
      </c>
      <c r="F124" s="113">
        <f t="shared" si="29"/>
        <v>11.943104257897435</v>
      </c>
      <c r="G124" s="114"/>
      <c r="H124" s="110">
        <v>3.52</v>
      </c>
      <c r="I124" s="111">
        <v>0.3905763888888889</v>
      </c>
      <c r="J124" s="110">
        <v>2.72</v>
      </c>
      <c r="K124" s="154">
        <f>H124*0.15873+I124*7.042254+J124*0.079365</f>
        <v>3.5251405369583333</v>
      </c>
      <c r="L124" s="114"/>
      <c r="M124" s="110"/>
      <c r="N124" s="115"/>
      <c r="O124" s="109"/>
      <c r="P124" s="116"/>
      <c r="Q124" s="117"/>
      <c r="R124" s="110"/>
      <c r="S124" s="110"/>
      <c r="T124" s="110"/>
      <c r="U124" s="109"/>
      <c r="V124"/>
      <c r="W124"/>
      <c r="X124"/>
      <c r="Y124"/>
      <c r="Z124">
        <v>1854</v>
      </c>
      <c r="AA124" s="35">
        <v>18.348706760678269</v>
      </c>
      <c r="AB124" s="35">
        <v>3.1376288560759837</v>
      </c>
    </row>
    <row r="125" spans="1:28" s="42" customFormat="1">
      <c r="A125" s="110">
        <v>1854</v>
      </c>
      <c r="B125" s="111">
        <v>4.41</v>
      </c>
      <c r="C125" s="109">
        <v>5.16E-2</v>
      </c>
      <c r="D125" s="112">
        <v>0.12820512820512822</v>
      </c>
      <c r="E125" s="161">
        <v>0.4</v>
      </c>
      <c r="F125" s="113">
        <f t="shared" si="29"/>
        <v>11.668974745076923</v>
      </c>
      <c r="G125" s="114"/>
      <c r="H125" s="110">
        <v>3.68</v>
      </c>
      <c r="I125" s="111">
        <v>0.41986944444444446</v>
      </c>
      <c r="J125" s="110">
        <v>2.56</v>
      </c>
      <c r="K125" s="154">
        <f t="shared" ref="K125:K188" si="30">H125*0.15873+I125*7.042254+J125*0.079365</f>
        <v>3.744128074616667</v>
      </c>
      <c r="L125" s="114"/>
      <c r="M125" s="110"/>
      <c r="N125" s="115">
        <v>8</v>
      </c>
      <c r="O125" s="150">
        <f t="shared" ref="O125:O126" si="31">N125*0.257732</f>
        <v>2.0618560000000001</v>
      </c>
      <c r="P125" s="116"/>
      <c r="Q125" s="115">
        <f>(F125+K125+O125)*0.05</f>
        <v>0.87374794098467956</v>
      </c>
      <c r="R125" s="115">
        <f>F125+K125+O125+Q125</f>
        <v>18.348706760678269</v>
      </c>
      <c r="S125" s="110">
        <v>0.95</v>
      </c>
      <c r="T125" s="115">
        <v>18</v>
      </c>
      <c r="U125" s="150">
        <f t="shared" ref="U125:U126" si="32">R125*S125*T125</f>
        <v>313.76288560759838</v>
      </c>
      <c r="V125"/>
      <c r="W125"/>
      <c r="X125"/>
      <c r="Y125"/>
      <c r="Z125">
        <v>1855</v>
      </c>
      <c r="AA125" s="35">
        <v>18.452094796880097</v>
      </c>
      <c r="AB125" s="35">
        <v>3.1553082102664969</v>
      </c>
    </row>
    <row r="126" spans="1:28" s="42" customFormat="1">
      <c r="A126" s="110">
        <v>1855</v>
      </c>
      <c r="B126" s="111">
        <v>4.41</v>
      </c>
      <c r="C126" s="109">
        <v>3.8699999999999998E-2</v>
      </c>
      <c r="D126" s="112">
        <v>0.14102564102564102</v>
      </c>
      <c r="E126" s="161">
        <v>0.4</v>
      </c>
      <c r="F126" s="113">
        <f t="shared" si="29"/>
        <v>11.668005389384616</v>
      </c>
      <c r="G126" s="114"/>
      <c r="H126" s="110">
        <v>3.36</v>
      </c>
      <c r="I126" s="111">
        <v>0.43939861111111111</v>
      </c>
      <c r="J126" s="110">
        <v>2.72</v>
      </c>
      <c r="K126" s="154">
        <f t="shared" si="30"/>
        <v>3.8435622266916667</v>
      </c>
      <c r="L126" s="114"/>
      <c r="M126" s="110"/>
      <c r="N126" s="115">
        <v>8</v>
      </c>
      <c r="O126" s="150">
        <f t="shared" si="31"/>
        <v>2.0618560000000001</v>
      </c>
      <c r="P126" s="116"/>
      <c r="Q126" s="115">
        <f>(F126+K126+O126)*0.05</f>
        <v>0.87867118080381423</v>
      </c>
      <c r="R126" s="115">
        <f>F126+K126+O126+Q126</f>
        <v>18.452094796880097</v>
      </c>
      <c r="S126" s="110">
        <v>0.95</v>
      </c>
      <c r="T126" s="115">
        <v>18</v>
      </c>
      <c r="U126" s="150">
        <f t="shared" si="32"/>
        <v>315.53082102664968</v>
      </c>
      <c r="V126"/>
      <c r="W126"/>
      <c r="X126"/>
      <c r="Y126"/>
      <c r="Z126">
        <v>1856</v>
      </c>
      <c r="AA126" s="35"/>
      <c r="AB126" s="35"/>
    </row>
    <row r="127" spans="1:28" s="42" customFormat="1">
      <c r="A127" s="110">
        <v>1856</v>
      </c>
      <c r="B127" s="111">
        <v>5.88</v>
      </c>
      <c r="C127" s="109">
        <v>4.3000000000000003E-2</v>
      </c>
      <c r="D127" s="112">
        <v>0.14871794871794872</v>
      </c>
      <c r="E127" s="161">
        <v>0.6</v>
      </c>
      <c r="F127" s="113">
        <f t="shared" si="29"/>
        <v>15.001486230769231</v>
      </c>
      <c r="G127" s="114"/>
      <c r="H127" s="110">
        <v>4.16</v>
      </c>
      <c r="I127" s="111">
        <v>0.41986944444444446</v>
      </c>
      <c r="J127" s="110">
        <v>2.88</v>
      </c>
      <c r="K127" s="154">
        <f t="shared" si="30"/>
        <v>3.845715274616667</v>
      </c>
      <c r="L127" s="114"/>
      <c r="M127" s="110"/>
      <c r="N127" s="115"/>
      <c r="O127" s="109"/>
      <c r="P127" s="116"/>
      <c r="Q127" s="117"/>
      <c r="R127" s="110"/>
      <c r="S127" s="110"/>
      <c r="T127" s="110"/>
      <c r="U127" s="109"/>
      <c r="V127"/>
      <c r="W127"/>
      <c r="X127"/>
      <c r="Y127"/>
      <c r="Z127">
        <v>1857</v>
      </c>
      <c r="AA127" s="35"/>
      <c r="AB127" s="35"/>
    </row>
    <row r="128" spans="1:28" s="42" customFormat="1">
      <c r="A128" s="110">
        <v>1857</v>
      </c>
      <c r="B128" s="111">
        <v>5.88</v>
      </c>
      <c r="C128" s="109">
        <v>5.16E-2</v>
      </c>
      <c r="D128" s="112">
        <v>0.15384615384615385</v>
      </c>
      <c r="E128" s="161">
        <v>0.6</v>
      </c>
      <c r="F128" s="113">
        <f t="shared" si="29"/>
        <v>15.168903339692308</v>
      </c>
      <c r="G128" s="114"/>
      <c r="H128" s="110">
        <v>4.96</v>
      </c>
      <c r="I128" s="111">
        <v>0.41986944444444446</v>
      </c>
      <c r="J128" s="110">
        <v>3.68</v>
      </c>
      <c r="K128" s="154">
        <f t="shared" si="30"/>
        <v>4.0361912746166668</v>
      </c>
      <c r="L128" s="114"/>
      <c r="M128" s="110"/>
      <c r="N128" s="115"/>
      <c r="O128" s="109"/>
      <c r="P128" s="116"/>
      <c r="Q128" s="117"/>
      <c r="R128" s="110"/>
      <c r="S128" s="110"/>
      <c r="T128" s="110"/>
      <c r="U128" s="109"/>
      <c r="V128"/>
      <c r="W128"/>
      <c r="X128"/>
      <c r="Y128"/>
      <c r="Z128">
        <v>1858</v>
      </c>
      <c r="AA128" s="35"/>
      <c r="AB128" s="35"/>
    </row>
    <row r="129" spans="1:28" s="42" customFormat="1">
      <c r="A129" s="110">
        <v>1858</v>
      </c>
      <c r="B129" s="111">
        <v>5.88</v>
      </c>
      <c r="C129" s="109">
        <v>6.4500000000000002E-2</v>
      </c>
      <c r="D129" s="112">
        <v>0.16666666666666669</v>
      </c>
      <c r="E129" s="161">
        <v>0.6</v>
      </c>
      <c r="F129" s="113">
        <f t="shared" si="29"/>
        <v>15.48256808</v>
      </c>
      <c r="G129" s="114"/>
      <c r="H129" s="110">
        <v>4.96</v>
      </c>
      <c r="I129" s="111">
        <v>0.34175416666666669</v>
      </c>
      <c r="J129" s="110">
        <v>3.84</v>
      </c>
      <c r="K129" s="154">
        <f t="shared" si="30"/>
        <v>3.4987820472250002</v>
      </c>
      <c r="L129" s="114"/>
      <c r="M129" s="110"/>
      <c r="N129" s="115"/>
      <c r="O129" s="109"/>
      <c r="P129" s="116"/>
      <c r="Q129" s="117"/>
      <c r="R129" s="110"/>
      <c r="S129" s="110"/>
      <c r="T129" s="110"/>
      <c r="U129" s="109"/>
      <c r="V129"/>
      <c r="W129"/>
      <c r="X129"/>
      <c r="Y129"/>
      <c r="Z129">
        <v>1859</v>
      </c>
      <c r="AA129" s="35">
        <v>22.558937049109325</v>
      </c>
      <c r="AB129" s="35">
        <v>3.8575782353976944</v>
      </c>
    </row>
    <row r="130" spans="1:28" s="42" customFormat="1">
      <c r="A130" s="110">
        <v>1859</v>
      </c>
      <c r="B130" s="111">
        <v>5.88</v>
      </c>
      <c r="C130" s="109">
        <v>7.3099999999999998E-2</v>
      </c>
      <c r="D130" s="112">
        <v>0.17948717948717949</v>
      </c>
      <c r="E130" s="161">
        <v>0.75</v>
      </c>
      <c r="F130" s="113">
        <f t="shared" si="29"/>
        <v>15.807896304307691</v>
      </c>
      <c r="G130" s="114"/>
      <c r="H130" s="110">
        <v>4.96</v>
      </c>
      <c r="I130" s="111">
        <v>0.34175416666666669</v>
      </c>
      <c r="J130" s="110">
        <v>3.68</v>
      </c>
      <c r="K130" s="154">
        <f t="shared" si="30"/>
        <v>3.4860836472250001</v>
      </c>
      <c r="L130" s="114"/>
      <c r="M130" s="110"/>
      <c r="N130" s="115">
        <v>8.5</v>
      </c>
      <c r="O130" s="150">
        <f t="shared" ref="O130" si="33">N130*0.257732</f>
        <v>2.1907220000000001</v>
      </c>
      <c r="P130" s="116"/>
      <c r="Q130" s="115">
        <f>(F130+K130+O130)*0.05</f>
        <v>1.0742350975766346</v>
      </c>
      <c r="R130" s="115">
        <f>F130+K130+O130+Q130</f>
        <v>22.558937049109325</v>
      </c>
      <c r="S130" s="110">
        <v>0.95</v>
      </c>
      <c r="T130" s="115">
        <v>18</v>
      </c>
      <c r="U130" s="150">
        <f>R130*S130*T130</f>
        <v>385.75782353976945</v>
      </c>
      <c r="V130"/>
      <c r="W130"/>
      <c r="X130"/>
      <c r="Y130"/>
      <c r="Z130">
        <v>1860</v>
      </c>
      <c r="AA130" s="35"/>
      <c r="AB130" s="35"/>
    </row>
    <row r="131" spans="1:28" s="42" customFormat="1">
      <c r="A131" s="110">
        <v>1860</v>
      </c>
      <c r="B131" s="111">
        <v>7.3500000000000005</v>
      </c>
      <c r="C131" s="109">
        <v>7.7399999999999997E-2</v>
      </c>
      <c r="D131" s="112">
        <v>0.24615384615384617</v>
      </c>
      <c r="E131" s="161">
        <v>0.75</v>
      </c>
      <c r="F131" s="113">
        <f t="shared" si="29"/>
        <v>19.775106530307692</v>
      </c>
      <c r="G131" s="114"/>
      <c r="H131" s="110">
        <v>5.44</v>
      </c>
      <c r="I131" s="111">
        <v>0.34175416666666669</v>
      </c>
      <c r="J131" s="110">
        <v>3.84</v>
      </c>
      <c r="K131" s="154">
        <f t="shared" si="30"/>
        <v>3.574972447225</v>
      </c>
      <c r="L131" s="114"/>
      <c r="M131" s="110"/>
      <c r="N131" s="115"/>
      <c r="O131" s="109"/>
      <c r="P131" s="116"/>
      <c r="Q131" s="117"/>
      <c r="R131" s="110"/>
      <c r="S131" s="110"/>
      <c r="T131" s="110"/>
      <c r="U131" s="109"/>
      <c r="V131"/>
      <c r="W131"/>
      <c r="X131"/>
      <c r="Y131"/>
      <c r="Z131">
        <v>1861</v>
      </c>
      <c r="AA131" s="35"/>
      <c r="AB131" s="35"/>
    </row>
    <row r="132" spans="1:28" s="42" customFormat="1">
      <c r="A132" s="110">
        <v>1861</v>
      </c>
      <c r="B132" s="111">
        <v>5.88</v>
      </c>
      <c r="C132" s="109">
        <v>8.6000000000000007E-2</v>
      </c>
      <c r="D132" s="112">
        <v>0.22051282051282051</v>
      </c>
      <c r="E132" s="161">
        <v>0.75</v>
      </c>
      <c r="F132" s="113">
        <f t="shared" si="29"/>
        <v>16.465525967692308</v>
      </c>
      <c r="G132" s="114"/>
      <c r="H132" s="110">
        <v>6.24</v>
      </c>
      <c r="I132" s="111">
        <v>0.34175416666666669</v>
      </c>
      <c r="J132" s="110">
        <v>3.84</v>
      </c>
      <c r="K132" s="154">
        <f t="shared" si="30"/>
        <v>3.7019564472250002</v>
      </c>
      <c r="L132" s="114"/>
      <c r="M132" s="110"/>
      <c r="N132" s="115"/>
      <c r="O132" s="109"/>
      <c r="P132" s="116"/>
      <c r="Q132" s="117"/>
      <c r="R132" s="110"/>
      <c r="S132" s="110"/>
      <c r="T132" s="110"/>
      <c r="U132" s="109"/>
      <c r="V132"/>
      <c r="W132"/>
      <c r="X132"/>
      <c r="Y132"/>
      <c r="Z132">
        <v>1862</v>
      </c>
      <c r="AA132" s="35"/>
      <c r="AB132" s="35"/>
    </row>
    <row r="133" spans="1:28" s="42" customFormat="1">
      <c r="A133" s="110">
        <v>1862</v>
      </c>
      <c r="B133" s="111">
        <v>5.88</v>
      </c>
      <c r="C133" s="109">
        <v>7.7399999999999997E-2</v>
      </c>
      <c r="D133" s="112">
        <v>0.22820512820512823</v>
      </c>
      <c r="E133" s="161">
        <v>0.75</v>
      </c>
      <c r="F133" s="113">
        <f t="shared" si="29"/>
        <v>16.454456551076923</v>
      </c>
      <c r="G133" s="114"/>
      <c r="H133" s="110">
        <v>5.92</v>
      </c>
      <c r="I133" s="111">
        <v>0.34175416666666669</v>
      </c>
      <c r="J133" s="110">
        <v>3.84</v>
      </c>
      <c r="K133" s="154">
        <f t="shared" si="30"/>
        <v>3.6511628472250002</v>
      </c>
      <c r="L133" s="114"/>
      <c r="M133" s="110"/>
      <c r="N133" s="115"/>
      <c r="O133" s="109"/>
      <c r="P133" s="116"/>
      <c r="Q133" s="117"/>
      <c r="R133" s="110"/>
      <c r="S133" s="110"/>
      <c r="T133" s="110"/>
      <c r="U133" s="109"/>
      <c r="V133"/>
      <c r="W133"/>
      <c r="X133"/>
      <c r="Y133"/>
      <c r="Z133">
        <v>1863</v>
      </c>
      <c r="AA133" s="35"/>
      <c r="AB133" s="35"/>
    </row>
    <row r="134" spans="1:28" s="42" customFormat="1">
      <c r="A134" s="110">
        <v>1863</v>
      </c>
      <c r="B134" s="111">
        <v>4.41</v>
      </c>
      <c r="C134" s="109">
        <v>7.3099999999999998E-2</v>
      </c>
      <c r="D134" s="112">
        <v>0.23589743589743595</v>
      </c>
      <c r="E134" s="161">
        <v>0.75</v>
      </c>
      <c r="F134" s="113">
        <f t="shared" si="29"/>
        <v>13.394062940461538</v>
      </c>
      <c r="G134" s="114"/>
      <c r="H134" s="110">
        <v>5.6</v>
      </c>
      <c r="I134" s="111">
        <v>0.30269722222222223</v>
      </c>
      <c r="J134" s="110">
        <v>3.84</v>
      </c>
      <c r="K134" s="154">
        <f t="shared" si="30"/>
        <v>3.3253203239833335</v>
      </c>
      <c r="L134" s="114"/>
      <c r="M134" s="110"/>
      <c r="N134" s="115"/>
      <c r="O134" s="109"/>
      <c r="P134" s="116"/>
      <c r="Q134" s="117"/>
      <c r="R134" s="110"/>
      <c r="S134" s="110"/>
      <c r="T134" s="110"/>
      <c r="U134" s="109"/>
      <c r="V134"/>
      <c r="W134"/>
      <c r="X134"/>
      <c r="Y134"/>
      <c r="Z134">
        <v>1864</v>
      </c>
      <c r="AA134" s="35"/>
      <c r="AB134" s="35"/>
    </row>
    <row r="135" spans="1:28" s="42" customFormat="1">
      <c r="A135" s="110">
        <v>1864</v>
      </c>
      <c r="B135" s="111">
        <v>4.41</v>
      </c>
      <c r="C135" s="109">
        <v>8.6000000000000007E-2</v>
      </c>
      <c r="D135" s="112">
        <v>0.22564102564102567</v>
      </c>
      <c r="E135" s="161">
        <v>0.8</v>
      </c>
      <c r="F135" s="113">
        <f t="shared" si="29"/>
        <v>13.447669334615385</v>
      </c>
      <c r="G135" s="114"/>
      <c r="H135" s="110">
        <v>4.32</v>
      </c>
      <c r="I135" s="111">
        <v>0.30269722222222223</v>
      </c>
      <c r="J135" s="110">
        <v>3.2</v>
      </c>
      <c r="K135" s="154">
        <f t="shared" si="30"/>
        <v>3.0713523239833336</v>
      </c>
      <c r="L135" s="114"/>
      <c r="M135" s="110"/>
      <c r="N135" s="115"/>
      <c r="O135" s="109"/>
      <c r="P135" s="116"/>
      <c r="Q135" s="117"/>
      <c r="R135" s="110"/>
      <c r="S135" s="110"/>
      <c r="T135" s="110"/>
      <c r="U135" s="109"/>
      <c r="V135"/>
      <c r="W135"/>
      <c r="X135"/>
      <c r="Y135"/>
      <c r="Z135">
        <v>1865</v>
      </c>
      <c r="AA135" s="35">
        <v>19.804826639960385</v>
      </c>
      <c r="AB135" s="35">
        <v>2.9588411000100816</v>
      </c>
    </row>
    <row r="136" spans="1:28" s="42" customFormat="1">
      <c r="A136" s="110">
        <v>1865</v>
      </c>
      <c r="B136" s="111">
        <v>4.41</v>
      </c>
      <c r="C136" s="109">
        <v>6.88E-2</v>
      </c>
      <c r="D136" s="112">
        <v>0.23076923076923078</v>
      </c>
      <c r="E136" s="161">
        <v>0.8</v>
      </c>
      <c r="F136" s="113">
        <f t="shared" si="29"/>
        <v>13.300452347538462</v>
      </c>
      <c r="G136" s="114"/>
      <c r="H136" s="110">
        <v>4.6399999999999997</v>
      </c>
      <c r="I136" s="111">
        <v>0.31246111111111113</v>
      </c>
      <c r="J136" s="110">
        <v>3.84</v>
      </c>
      <c r="K136" s="154">
        <f t="shared" si="30"/>
        <v>3.2416993095666671</v>
      </c>
      <c r="L136" s="114"/>
      <c r="M136" s="110"/>
      <c r="N136" s="115">
        <v>9</v>
      </c>
      <c r="O136" s="150">
        <f t="shared" ref="O136:O146" si="34">N136*0.257732</f>
        <v>2.319588</v>
      </c>
      <c r="P136" s="116"/>
      <c r="Q136" s="115">
        <f t="shared" ref="Q136:Q141" si="35">(F136+K136+O136)*0.05</f>
        <v>0.94308698285525649</v>
      </c>
      <c r="R136" s="115">
        <f t="shared" ref="R136:R146" si="36">F136+K136+O136+Q136</f>
        <v>19.804826639960385</v>
      </c>
      <c r="S136" s="110">
        <v>0.83</v>
      </c>
      <c r="T136" s="115">
        <v>18</v>
      </c>
      <c r="U136" s="150">
        <f t="shared" ref="U136:U145" si="37">R136*S136*T136</f>
        <v>295.88411000100814</v>
      </c>
      <c r="V136"/>
      <c r="W136"/>
      <c r="X136"/>
      <c r="Y136"/>
      <c r="Z136">
        <v>1866</v>
      </c>
      <c r="AA136" s="35">
        <v>26.862015264837307</v>
      </c>
      <c r="AB136" s="35">
        <v>4.0131850805666929</v>
      </c>
    </row>
    <row r="137" spans="1:28" s="42" customFormat="1">
      <c r="A137" s="110">
        <v>1866</v>
      </c>
      <c r="B137" s="111">
        <v>7.3500000000000005</v>
      </c>
      <c r="C137" s="109">
        <v>9.4600000000000004E-2</v>
      </c>
      <c r="D137" s="112">
        <v>0.21794871794871795</v>
      </c>
      <c r="E137" s="161">
        <v>0.8</v>
      </c>
      <c r="F137" s="113">
        <f t="shared" si="29"/>
        <v>19.662265171230768</v>
      </c>
      <c r="G137" s="114"/>
      <c r="H137" s="110">
        <v>5.28</v>
      </c>
      <c r="I137" s="111">
        <v>0.31246111111111113</v>
      </c>
      <c r="J137" s="110">
        <v>3.84</v>
      </c>
      <c r="K137" s="154">
        <f t="shared" si="30"/>
        <v>3.3432865095666671</v>
      </c>
      <c r="L137" s="114"/>
      <c r="M137" s="110"/>
      <c r="N137" s="115">
        <v>10</v>
      </c>
      <c r="O137" s="150">
        <f t="shared" si="34"/>
        <v>2.5773200000000003</v>
      </c>
      <c r="P137" s="116"/>
      <c r="Q137" s="115">
        <f t="shared" si="35"/>
        <v>1.2791435840398719</v>
      </c>
      <c r="R137" s="115">
        <f t="shared" si="36"/>
        <v>26.862015264837307</v>
      </c>
      <c r="S137" s="110">
        <v>0.83</v>
      </c>
      <c r="T137" s="115">
        <v>18</v>
      </c>
      <c r="U137" s="150">
        <f t="shared" si="37"/>
        <v>401.31850805666932</v>
      </c>
      <c r="V137"/>
      <c r="W137"/>
      <c r="X137"/>
      <c r="Y137"/>
      <c r="Z137">
        <v>1867</v>
      </c>
      <c r="AA137" s="35">
        <v>26.835347757052695</v>
      </c>
      <c r="AB137" s="35">
        <v>4.0092009549036725</v>
      </c>
    </row>
    <row r="138" spans="1:28" s="42" customFormat="1">
      <c r="A138" s="110">
        <v>1867</v>
      </c>
      <c r="B138" s="111">
        <v>7.3500000000000005</v>
      </c>
      <c r="C138" s="109">
        <v>0.12469999999999999</v>
      </c>
      <c r="D138" s="112">
        <v>0.2153846153846154</v>
      </c>
      <c r="E138" s="161">
        <v>0.8</v>
      </c>
      <c r="F138" s="113">
        <f t="shared" si="29"/>
        <v>19.998068744769231</v>
      </c>
      <c r="G138" s="114"/>
      <c r="H138" s="110">
        <v>5.44</v>
      </c>
      <c r="I138" s="111">
        <v>0.31246111111111113</v>
      </c>
      <c r="J138" s="110">
        <v>3.84</v>
      </c>
      <c r="K138" s="154">
        <f t="shared" si="30"/>
        <v>3.3686833095666673</v>
      </c>
      <c r="L138" s="114"/>
      <c r="M138" s="110"/>
      <c r="N138" s="115">
        <v>8.5</v>
      </c>
      <c r="O138" s="150">
        <f t="shared" si="34"/>
        <v>2.1907220000000001</v>
      </c>
      <c r="P138" s="116"/>
      <c r="Q138" s="115">
        <f t="shared" si="35"/>
        <v>1.277873702716795</v>
      </c>
      <c r="R138" s="115">
        <f t="shared" si="36"/>
        <v>26.835347757052695</v>
      </c>
      <c r="S138" s="110">
        <v>0.83</v>
      </c>
      <c r="T138" s="115">
        <v>18</v>
      </c>
      <c r="U138" s="150">
        <f t="shared" si="37"/>
        <v>400.9200954903672</v>
      </c>
      <c r="V138"/>
      <c r="W138"/>
      <c r="X138"/>
      <c r="Y138"/>
      <c r="Z138">
        <v>1868</v>
      </c>
      <c r="AA138" s="35">
        <v>27.728652961021933</v>
      </c>
      <c r="AB138" s="35">
        <v>4.1426607523766767</v>
      </c>
    </row>
    <row r="139" spans="1:28" s="42" customFormat="1">
      <c r="A139" s="110">
        <v>1868</v>
      </c>
      <c r="B139" s="111">
        <v>7.3500000000000005</v>
      </c>
      <c r="C139" s="109">
        <v>0.12040000000000001</v>
      </c>
      <c r="D139" s="112">
        <v>0.22051282051282056</v>
      </c>
      <c r="E139" s="161">
        <v>1.2</v>
      </c>
      <c r="F139" s="113">
        <f t="shared" si="29"/>
        <v>20.179108805692312</v>
      </c>
      <c r="G139" s="114"/>
      <c r="H139" s="110">
        <v>5.44</v>
      </c>
      <c r="I139" s="111">
        <v>0.31246111111111113</v>
      </c>
      <c r="J139" s="110">
        <v>4.16</v>
      </c>
      <c r="K139" s="154">
        <f t="shared" si="30"/>
        <v>3.3940801095666675</v>
      </c>
      <c r="L139" s="114"/>
      <c r="M139" s="110"/>
      <c r="N139" s="115">
        <v>11</v>
      </c>
      <c r="O139" s="150">
        <f t="shared" si="34"/>
        <v>2.8350520000000001</v>
      </c>
      <c r="P139" s="116"/>
      <c r="Q139" s="115">
        <f t="shared" si="35"/>
        <v>1.3204120457629491</v>
      </c>
      <c r="R139" s="115">
        <f t="shared" si="36"/>
        <v>27.728652961021933</v>
      </c>
      <c r="S139" s="110">
        <v>0.83</v>
      </c>
      <c r="T139" s="115">
        <v>18</v>
      </c>
      <c r="U139" s="150">
        <f t="shared" si="37"/>
        <v>414.26607523766768</v>
      </c>
      <c r="V139"/>
      <c r="W139"/>
      <c r="X139"/>
      <c r="Y139"/>
      <c r="Z139">
        <v>1869</v>
      </c>
      <c r="AA139" s="35">
        <v>27.748413604991157</v>
      </c>
      <c r="AB139" s="35">
        <v>4.1456129925856793</v>
      </c>
    </row>
    <row r="140" spans="1:28" s="42" customFormat="1">
      <c r="A140" s="110">
        <v>1869</v>
      </c>
      <c r="B140" s="111">
        <v>7.3500000000000005</v>
      </c>
      <c r="C140" s="109">
        <v>0.11610000000000001</v>
      </c>
      <c r="D140" s="112">
        <v>0.22564102564102567</v>
      </c>
      <c r="E140" s="161">
        <v>0.8</v>
      </c>
      <c r="F140" s="113">
        <f t="shared" si="29"/>
        <v>20.018268866615387</v>
      </c>
      <c r="G140" s="114"/>
      <c r="H140" s="110">
        <v>5.6</v>
      </c>
      <c r="I140" s="111">
        <v>0.31246111111111113</v>
      </c>
      <c r="J140" s="110">
        <v>4.4800000000000004</v>
      </c>
      <c r="K140" s="154">
        <f t="shared" si="30"/>
        <v>3.4448737095666671</v>
      </c>
      <c r="L140" s="114"/>
      <c r="M140" s="110"/>
      <c r="N140" s="115">
        <v>11.5</v>
      </c>
      <c r="O140" s="150">
        <f t="shared" si="34"/>
        <v>2.9639180000000001</v>
      </c>
      <c r="P140" s="116"/>
      <c r="Q140" s="115">
        <f t="shared" si="35"/>
        <v>1.3213530288091029</v>
      </c>
      <c r="R140" s="115">
        <f t="shared" si="36"/>
        <v>27.748413604991157</v>
      </c>
      <c r="S140" s="110">
        <v>0.83</v>
      </c>
      <c r="T140" s="115">
        <v>18</v>
      </c>
      <c r="U140" s="150">
        <f t="shared" si="37"/>
        <v>414.56129925856789</v>
      </c>
      <c r="V140"/>
      <c r="W140"/>
      <c r="X140"/>
      <c r="Y140"/>
      <c r="Z140">
        <v>1870</v>
      </c>
      <c r="AA140" s="35">
        <v>27.460942988960387</v>
      </c>
      <c r="AB140" s="35">
        <v>3.9543757904102961</v>
      </c>
    </row>
    <row r="141" spans="1:28" s="42" customFormat="1">
      <c r="A141" s="110">
        <v>1870</v>
      </c>
      <c r="B141" s="111">
        <v>7.3500000000000005</v>
      </c>
      <c r="C141" s="109">
        <v>0.1118</v>
      </c>
      <c r="D141" s="112">
        <v>0.23076923076923078</v>
      </c>
      <c r="E141" s="161">
        <v>0.8</v>
      </c>
      <c r="F141" s="113">
        <f t="shared" si="29"/>
        <v>20.028368927538462</v>
      </c>
      <c r="G141" s="114"/>
      <c r="H141" s="110">
        <v>5.6</v>
      </c>
      <c r="I141" s="111">
        <v>0.31246111111111113</v>
      </c>
      <c r="J141" s="110">
        <v>4.8</v>
      </c>
      <c r="K141" s="154">
        <f t="shared" si="30"/>
        <v>3.4702705095666673</v>
      </c>
      <c r="L141" s="114"/>
      <c r="M141" s="110"/>
      <c r="N141" s="115">
        <v>10.3</v>
      </c>
      <c r="O141" s="150">
        <f t="shared" si="34"/>
        <v>2.6546396000000003</v>
      </c>
      <c r="P141" s="116"/>
      <c r="Q141" s="115">
        <f t="shared" si="35"/>
        <v>1.3076639518552566</v>
      </c>
      <c r="R141" s="115">
        <f t="shared" si="36"/>
        <v>27.460942988960387</v>
      </c>
      <c r="S141" s="110">
        <v>0.8</v>
      </c>
      <c r="T141" s="115">
        <v>18</v>
      </c>
      <c r="U141" s="150">
        <f t="shared" si="37"/>
        <v>395.43757904102961</v>
      </c>
      <c r="V141"/>
      <c r="W141"/>
      <c r="X141"/>
      <c r="Y141"/>
      <c r="Z141">
        <v>1871</v>
      </c>
      <c r="AA141" s="35">
        <v>29.942273016629617</v>
      </c>
      <c r="AB141" s="35">
        <v>4.3116873143946641</v>
      </c>
    </row>
    <row r="142" spans="1:28" s="42" customFormat="1">
      <c r="A142" s="110">
        <v>1871</v>
      </c>
      <c r="B142" s="111">
        <v>8.82</v>
      </c>
      <c r="C142" s="109">
        <v>0.1032</v>
      </c>
      <c r="D142" s="112">
        <v>0.23589743589743595</v>
      </c>
      <c r="E142" s="161">
        <v>0.8</v>
      </c>
      <c r="F142" s="113">
        <f t="shared" si="29"/>
        <v>23.087793182461539</v>
      </c>
      <c r="G142" s="114"/>
      <c r="H142" s="110">
        <v>5.6</v>
      </c>
      <c r="I142" s="111">
        <v>0.31246111111111113</v>
      </c>
      <c r="J142" s="110">
        <v>5.12</v>
      </c>
      <c r="K142" s="154">
        <f t="shared" si="30"/>
        <v>3.495667309566667</v>
      </c>
      <c r="L142" s="114"/>
      <c r="M142" s="110"/>
      <c r="N142" s="115">
        <v>7.5</v>
      </c>
      <c r="O142" s="150">
        <f t="shared" si="34"/>
        <v>1.9329900000000002</v>
      </c>
      <c r="P142" s="116"/>
      <c r="Q142" s="115">
        <f t="shared" ref="Q142:Q146" si="38">(F142+K142+O142)*0.05</f>
        <v>1.4258225246014105</v>
      </c>
      <c r="R142" s="115">
        <f t="shared" si="36"/>
        <v>29.942273016629617</v>
      </c>
      <c r="S142" s="110">
        <v>0.8</v>
      </c>
      <c r="T142" s="115">
        <v>18</v>
      </c>
      <c r="U142" s="150">
        <f t="shared" si="37"/>
        <v>431.16873143946646</v>
      </c>
      <c r="V142"/>
      <c r="W142"/>
      <c r="X142"/>
      <c r="Y142"/>
      <c r="Z142">
        <v>1872</v>
      </c>
      <c r="AA142" s="35">
        <v>27.706159583523078</v>
      </c>
      <c r="AB142" s="35">
        <v>3.9896869800273236</v>
      </c>
    </row>
    <row r="143" spans="1:28" s="42" customFormat="1">
      <c r="A143" s="110">
        <v>1872</v>
      </c>
      <c r="B143" s="111">
        <v>7.3500000000000005</v>
      </c>
      <c r="C143" s="109">
        <v>0.15909999999999999</v>
      </c>
      <c r="D143" s="112">
        <v>0.24615384615384617</v>
      </c>
      <c r="E143" s="161">
        <v>0.8</v>
      </c>
      <c r="F143" s="113">
        <f t="shared" si="29"/>
        <v>20.792815334307694</v>
      </c>
      <c r="G143" s="114"/>
      <c r="H143" s="110">
        <v>5.76</v>
      </c>
      <c r="I143" s="111">
        <v>0.31944444444444448</v>
      </c>
      <c r="J143" s="110">
        <v>4.6399999999999997</v>
      </c>
      <c r="K143" s="154">
        <f t="shared" si="30"/>
        <v>3.5321473166666668</v>
      </c>
      <c r="L143" s="114"/>
      <c r="M143" s="110"/>
      <c r="N143" s="115">
        <v>8</v>
      </c>
      <c r="O143" s="150">
        <f t="shared" si="34"/>
        <v>2.0618560000000001</v>
      </c>
      <c r="P143" s="116"/>
      <c r="Q143" s="115">
        <f t="shared" si="38"/>
        <v>1.319340932548718</v>
      </c>
      <c r="R143" s="115">
        <f t="shared" si="36"/>
        <v>27.706159583523078</v>
      </c>
      <c r="S143" s="110">
        <v>0.8</v>
      </c>
      <c r="T143" s="115">
        <v>18</v>
      </c>
      <c r="U143" s="150">
        <f t="shared" si="37"/>
        <v>398.96869800273237</v>
      </c>
      <c r="V143"/>
      <c r="W143"/>
      <c r="X143"/>
      <c r="Y143"/>
      <c r="Z143">
        <v>1873</v>
      </c>
      <c r="AA143" s="35">
        <v>11.868937893340096</v>
      </c>
      <c r="AB143" s="35">
        <v>1.709127056640974</v>
      </c>
    </row>
    <row r="144" spans="1:28" s="42" customFormat="1">
      <c r="A144" s="110">
        <v>1873</v>
      </c>
      <c r="B144" s="111">
        <v>0</v>
      </c>
      <c r="C144" s="109">
        <v>0.1376</v>
      </c>
      <c r="D144" s="112">
        <v>0.30769230769230771</v>
      </c>
      <c r="E144" s="161">
        <v>0.8</v>
      </c>
      <c r="F144" s="113">
        <f t="shared" si="29"/>
        <v>5.7722731273846151</v>
      </c>
      <c r="G144" s="114"/>
      <c r="H144" s="110">
        <v>5.76</v>
      </c>
      <c r="I144" s="111">
        <v>0.34175416666666669</v>
      </c>
      <c r="J144" s="110">
        <v>5.12</v>
      </c>
      <c r="K144" s="154">
        <f t="shared" si="30"/>
        <v>3.7273532472249999</v>
      </c>
      <c r="L144" s="114"/>
      <c r="M144" s="110"/>
      <c r="N144" s="115">
        <v>7</v>
      </c>
      <c r="O144" s="150">
        <f t="shared" si="34"/>
        <v>1.8041240000000001</v>
      </c>
      <c r="P144" s="116"/>
      <c r="Q144" s="115">
        <f t="shared" si="38"/>
        <v>0.56518751873048079</v>
      </c>
      <c r="R144" s="115">
        <f t="shared" si="36"/>
        <v>11.868937893340096</v>
      </c>
      <c r="S144" s="110">
        <v>0.8</v>
      </c>
      <c r="T144" s="115">
        <v>18</v>
      </c>
      <c r="U144" s="150">
        <f t="shared" si="37"/>
        <v>170.91270566409739</v>
      </c>
      <c r="V144"/>
      <c r="W144"/>
      <c r="X144"/>
      <c r="Y144"/>
      <c r="Z144">
        <v>1874</v>
      </c>
      <c r="AA144" s="35">
        <v>31.512213573017021</v>
      </c>
      <c r="AB144" s="35">
        <v>4.5377587545144511</v>
      </c>
    </row>
    <row r="145" spans="1:28" s="42" customFormat="1">
      <c r="A145" s="110">
        <v>1874</v>
      </c>
      <c r="B145" s="111">
        <v>8.82</v>
      </c>
      <c r="C145" s="109">
        <v>0.1462</v>
      </c>
      <c r="D145" s="112">
        <v>0.32820512820512826</v>
      </c>
      <c r="E145" s="161">
        <v>0.8</v>
      </c>
      <c r="F145" s="113">
        <f t="shared" si="29"/>
        <v>24.737886727076923</v>
      </c>
      <c r="G145" s="114"/>
      <c r="H145" s="110">
        <v>5.76</v>
      </c>
      <c r="I145" s="111">
        <v>0.34175416666666669</v>
      </c>
      <c r="J145" s="110">
        <v>5.12</v>
      </c>
      <c r="K145" s="154">
        <f t="shared" si="30"/>
        <v>3.7273532472249999</v>
      </c>
      <c r="L145" s="114"/>
      <c r="M145" s="110"/>
      <c r="N145" s="115">
        <v>6</v>
      </c>
      <c r="O145" s="150">
        <f t="shared" si="34"/>
        <v>1.546392</v>
      </c>
      <c r="P145" s="116"/>
      <c r="Q145" s="115">
        <f t="shared" si="38"/>
        <v>1.5005815987150963</v>
      </c>
      <c r="R145" s="115">
        <f t="shared" si="36"/>
        <v>31.512213573017021</v>
      </c>
      <c r="S145" s="110">
        <v>0.8</v>
      </c>
      <c r="T145" s="115">
        <v>18</v>
      </c>
      <c r="U145" s="150">
        <f t="shared" si="37"/>
        <v>453.77587545144513</v>
      </c>
      <c r="V145"/>
      <c r="W145"/>
      <c r="X145"/>
      <c r="Y145"/>
      <c r="Z145">
        <v>1875</v>
      </c>
      <c r="AA145" s="35">
        <v>31.272969900570867</v>
      </c>
      <c r="AB145" s="35">
        <v>4.5033076656822049</v>
      </c>
    </row>
    <row r="146" spans="1:28" s="42" customFormat="1">
      <c r="A146" s="110">
        <v>1875</v>
      </c>
      <c r="B146" s="111">
        <v>8.82</v>
      </c>
      <c r="C146" s="109">
        <v>0.1376</v>
      </c>
      <c r="D146" s="112">
        <v>0.3025641025641026</v>
      </c>
      <c r="E146" s="161">
        <v>0.73</v>
      </c>
      <c r="F146" s="113">
        <f t="shared" si="29"/>
        <v>24.290398810461539</v>
      </c>
      <c r="G146" s="114"/>
      <c r="H146" s="110">
        <v>5.76</v>
      </c>
      <c r="I146" s="111">
        <v>0.34175416666666669</v>
      </c>
      <c r="J146" s="110">
        <v>4.6399999999999997</v>
      </c>
      <c r="K146" s="154">
        <f t="shared" si="30"/>
        <v>3.6892580472250001</v>
      </c>
      <c r="L146" s="114"/>
      <c r="M146" s="110"/>
      <c r="N146" s="115">
        <v>7</v>
      </c>
      <c r="O146" s="150">
        <f t="shared" si="34"/>
        <v>1.8041240000000001</v>
      </c>
      <c r="P146" s="116"/>
      <c r="Q146" s="115">
        <f t="shared" si="38"/>
        <v>1.4891890428843271</v>
      </c>
      <c r="R146" s="115">
        <f t="shared" si="36"/>
        <v>31.272969900570867</v>
      </c>
      <c r="S146" s="110">
        <v>0.8</v>
      </c>
      <c r="T146" s="115">
        <v>18</v>
      </c>
      <c r="U146" s="150">
        <f>R146*S146*T146</f>
        <v>450.3307665682205</v>
      </c>
      <c r="V146"/>
      <c r="W146"/>
      <c r="X146"/>
      <c r="Y146"/>
    </row>
    <row r="147" spans="1:28" s="42" customFormat="1">
      <c r="A147" s="110">
        <v>1876</v>
      </c>
      <c r="B147" s="111">
        <v>7.3500000000000005</v>
      </c>
      <c r="C147" s="109">
        <v>0.15909999999999999</v>
      </c>
      <c r="D147" s="112">
        <v>0.28717948717948716</v>
      </c>
      <c r="E147" s="161">
        <v>0.8</v>
      </c>
      <c r="F147" s="113">
        <f t="shared" si="29"/>
        <v>21.293127949692309</v>
      </c>
      <c r="G147" s="114"/>
      <c r="H147" s="110">
        <v>5.92</v>
      </c>
      <c r="I147" s="111">
        <v>0.34175416666666669</v>
      </c>
      <c r="J147" s="110">
        <v>5.44</v>
      </c>
      <c r="K147" s="154">
        <f t="shared" si="30"/>
        <v>3.7781468472250004</v>
      </c>
      <c r="L147" s="114"/>
      <c r="M147" s="110"/>
      <c r="N147" s="115"/>
      <c r="O147" s="109"/>
      <c r="P147" s="116"/>
      <c r="Q147" s="117"/>
      <c r="R147" s="110"/>
      <c r="S147" s="110"/>
      <c r="T147" s="110"/>
      <c r="U147" s="109"/>
      <c r="V147"/>
      <c r="W147"/>
      <c r="X147"/>
      <c r="Y147"/>
      <c r="Z147"/>
      <c r="AA147" s="35"/>
      <c r="AB147" s="35"/>
    </row>
    <row r="148" spans="1:28" s="42" customFormat="1">
      <c r="A148" s="110">
        <v>1877</v>
      </c>
      <c r="B148" s="111">
        <v>7.3500000000000005</v>
      </c>
      <c r="C148" s="109">
        <v>0.1376</v>
      </c>
      <c r="D148" s="112">
        <v>0.28205128205128205</v>
      </c>
      <c r="E148" s="161">
        <v>0.75</v>
      </c>
      <c r="F148" s="113">
        <f t="shared" si="29"/>
        <v>20.94702629276923</v>
      </c>
      <c r="G148" s="114"/>
      <c r="H148" s="110">
        <v>6.08</v>
      </c>
      <c r="I148" s="111">
        <v>0.34175416666666669</v>
      </c>
      <c r="J148" s="110">
        <v>5.44</v>
      </c>
      <c r="K148" s="154">
        <f t="shared" si="30"/>
        <v>3.8035436472250002</v>
      </c>
      <c r="L148" s="114"/>
      <c r="M148" s="110"/>
      <c r="N148" s="115"/>
      <c r="O148" s="109"/>
      <c r="P148" s="116"/>
      <c r="Q148" s="117"/>
      <c r="R148" s="110"/>
      <c r="S148" s="110"/>
      <c r="T148" s="110"/>
      <c r="U148" s="109"/>
      <c r="V148"/>
      <c r="W148"/>
      <c r="X148"/>
      <c r="Y148"/>
      <c r="Z148"/>
      <c r="AA148" s="35"/>
      <c r="AB148" s="35"/>
    </row>
    <row r="149" spans="1:28" s="42" customFormat="1">
      <c r="A149" s="110">
        <v>1878</v>
      </c>
      <c r="B149" s="111">
        <v>7.3500000000000005</v>
      </c>
      <c r="C149" s="109">
        <v>0.1376</v>
      </c>
      <c r="D149" s="112">
        <v>0.30769230769230771</v>
      </c>
      <c r="E149" s="161">
        <v>0.8</v>
      </c>
      <c r="F149" s="113">
        <f t="shared" si="29"/>
        <v>21.281089177384615</v>
      </c>
      <c r="G149" s="114"/>
      <c r="H149" s="110">
        <v>6.24</v>
      </c>
      <c r="I149" s="111">
        <v>0.29293194444444443</v>
      </c>
      <c r="J149" s="110">
        <v>5.44</v>
      </c>
      <c r="K149" s="154">
        <f t="shared" si="30"/>
        <v>3.4851219574916668</v>
      </c>
      <c r="L149" s="114"/>
      <c r="M149" s="110"/>
      <c r="N149" s="115"/>
      <c r="O149" s="109"/>
      <c r="P149" s="116"/>
      <c r="Q149" s="117"/>
      <c r="R149" s="110"/>
      <c r="S149" s="110"/>
      <c r="T149" s="110"/>
      <c r="U149" s="109"/>
      <c r="V149"/>
      <c r="W149"/>
      <c r="X149"/>
      <c r="Y149"/>
      <c r="Z149"/>
      <c r="AA149" s="35"/>
      <c r="AB149" s="35"/>
    </row>
    <row r="150" spans="1:28" s="42" customFormat="1">
      <c r="A150" s="110">
        <v>1879</v>
      </c>
      <c r="B150" s="111">
        <v>8.82</v>
      </c>
      <c r="C150" s="109">
        <v>0.15909999999999999</v>
      </c>
      <c r="D150" s="112">
        <v>0.35897435897435898</v>
      </c>
      <c r="E150" s="161">
        <v>0.8</v>
      </c>
      <c r="F150" s="113">
        <f t="shared" si="29"/>
        <v>25.270438236615387</v>
      </c>
      <c r="G150" s="114"/>
      <c r="H150" s="110">
        <v>6.4</v>
      </c>
      <c r="I150" s="111">
        <v>0.29293194444444443</v>
      </c>
      <c r="J150" s="110">
        <v>5.44</v>
      </c>
      <c r="K150" s="154">
        <f t="shared" si="30"/>
        <v>3.510518757491667</v>
      </c>
      <c r="L150" s="114"/>
      <c r="M150" s="110"/>
      <c r="N150" s="115"/>
      <c r="O150" s="109"/>
      <c r="P150" s="116"/>
      <c r="Q150" s="117"/>
      <c r="R150" s="110"/>
      <c r="S150" s="110"/>
      <c r="T150" s="110"/>
      <c r="U150" s="109"/>
      <c r="V150"/>
      <c r="W150"/>
      <c r="X150"/>
      <c r="Y150"/>
      <c r="Z150"/>
      <c r="AA150" s="35"/>
      <c r="AB150" s="35"/>
    </row>
    <row r="151" spans="1:28" s="42" customFormat="1">
      <c r="A151" s="110">
        <v>1880</v>
      </c>
      <c r="B151" s="111">
        <v>11.76</v>
      </c>
      <c r="C151" s="109">
        <v>0.18059999999999998</v>
      </c>
      <c r="D151" s="112">
        <v>0.30769230769230771</v>
      </c>
      <c r="E151" s="161">
        <v>2.1</v>
      </c>
      <c r="F151" s="113">
        <f t="shared" si="29"/>
        <v>31.666323967384617</v>
      </c>
      <c r="G151" s="114"/>
      <c r="H151" s="110">
        <v>6.4</v>
      </c>
      <c r="I151" s="111">
        <v>0.29166666666666669</v>
      </c>
      <c r="J151" s="110">
        <v>5.44</v>
      </c>
      <c r="K151" s="154">
        <f t="shared" si="30"/>
        <v>3.5016083500000006</v>
      </c>
      <c r="L151" s="114"/>
      <c r="M151" s="110"/>
      <c r="N151" s="115"/>
      <c r="O151" s="109"/>
      <c r="P151" s="116"/>
      <c r="Q151" s="117"/>
      <c r="R151" s="110"/>
      <c r="S151" s="110"/>
      <c r="T151" s="110"/>
      <c r="U151" s="109"/>
      <c r="V151"/>
      <c r="W151"/>
      <c r="X151"/>
      <c r="Y151"/>
      <c r="Z151"/>
      <c r="AA151" s="35"/>
      <c r="AB151" s="35"/>
    </row>
    <row r="152" spans="1:28" s="42" customFormat="1">
      <c r="A152" s="110">
        <v>1881</v>
      </c>
      <c r="B152" s="111">
        <v>13.229999999999999</v>
      </c>
      <c r="C152" s="109">
        <v>0.18059999999999998</v>
      </c>
      <c r="D152" s="112">
        <v>0.32051282051282054</v>
      </c>
      <c r="E152" s="161">
        <v>1.2</v>
      </c>
      <c r="F152" s="113">
        <f t="shared" si="29"/>
        <v>34.539819869692302</v>
      </c>
      <c r="G152" s="114"/>
      <c r="H152" s="110">
        <v>6.4</v>
      </c>
      <c r="I152" s="111">
        <v>0.29166666666666669</v>
      </c>
      <c r="J152" s="110">
        <v>4.96</v>
      </c>
      <c r="K152" s="154">
        <f t="shared" si="30"/>
        <v>3.4635131500000003</v>
      </c>
      <c r="L152" s="114"/>
      <c r="M152" s="110"/>
      <c r="N152" s="115"/>
      <c r="O152" s="109"/>
      <c r="P152" s="116"/>
      <c r="Q152" s="117"/>
      <c r="R152" s="110"/>
      <c r="S152" s="110"/>
      <c r="T152" s="110"/>
      <c r="U152" s="109"/>
      <c r="V152"/>
      <c r="W152"/>
      <c r="X152"/>
      <c r="Y152"/>
      <c r="Z152"/>
      <c r="AA152" s="35"/>
      <c r="AB152" s="35"/>
    </row>
    <row r="153" spans="1:28" s="42" customFormat="1">
      <c r="A153" s="110">
        <v>1882</v>
      </c>
      <c r="B153" s="111">
        <v>10.290000000000001</v>
      </c>
      <c r="C153" s="109">
        <v>0.15909999999999999</v>
      </c>
      <c r="D153" s="112">
        <v>0.32051282051282054</v>
      </c>
      <c r="E153" s="161">
        <v>0.7</v>
      </c>
      <c r="F153" s="113">
        <f t="shared" si="29"/>
        <v>27.860423369692313</v>
      </c>
      <c r="G153" s="114"/>
      <c r="H153" s="110">
        <v>7.36</v>
      </c>
      <c r="I153" s="111">
        <v>0.27340277777777777</v>
      </c>
      <c r="J153" s="110">
        <v>5.44</v>
      </c>
      <c r="K153" s="154">
        <f t="shared" si="30"/>
        <v>3.5253702054166669</v>
      </c>
      <c r="L153" s="114"/>
      <c r="M153" s="110"/>
      <c r="N153" s="115"/>
      <c r="O153" s="109"/>
      <c r="P153" s="116"/>
      <c r="Q153" s="117"/>
      <c r="R153" s="110"/>
      <c r="S153" s="110"/>
      <c r="T153" s="110"/>
      <c r="U153" s="109"/>
      <c r="V153"/>
      <c r="W153"/>
      <c r="X153"/>
      <c r="Y153"/>
      <c r="Z153"/>
      <c r="AA153" s="35"/>
      <c r="AB153" s="35"/>
    </row>
    <row r="154" spans="1:28" s="42" customFormat="1">
      <c r="A154" s="110">
        <v>1883</v>
      </c>
      <c r="B154" s="111">
        <v>10.290000000000001</v>
      </c>
      <c r="C154" s="109">
        <v>0.16770000000000002</v>
      </c>
      <c r="D154" s="112">
        <v>0.32692307692307693</v>
      </c>
      <c r="E154" s="161">
        <v>0.9</v>
      </c>
      <c r="F154" s="113">
        <f t="shared" si="29"/>
        <v>28.128945247846158</v>
      </c>
      <c r="G154" s="114"/>
      <c r="H154" s="110">
        <v>7.52</v>
      </c>
      <c r="I154" s="111">
        <v>0.31246111111111113</v>
      </c>
      <c r="J154" s="110">
        <v>5.92</v>
      </c>
      <c r="K154" s="154">
        <f t="shared" si="30"/>
        <v>3.8639209095666671</v>
      </c>
      <c r="L154" s="114"/>
      <c r="M154" s="110"/>
      <c r="N154" s="115"/>
      <c r="O154" s="109"/>
      <c r="P154" s="116"/>
      <c r="Q154" s="117"/>
      <c r="R154" s="110"/>
      <c r="S154" s="110"/>
      <c r="T154" s="110"/>
      <c r="U154" s="109"/>
      <c r="V154"/>
      <c r="W154"/>
      <c r="X154"/>
      <c r="Y154"/>
      <c r="Z154"/>
      <c r="AA154" s="35"/>
      <c r="AB154" s="35"/>
    </row>
    <row r="155" spans="1:28" s="42" customFormat="1">
      <c r="A155" s="110">
        <v>1884</v>
      </c>
      <c r="B155" s="111">
        <v>8.82</v>
      </c>
      <c r="C155" s="109">
        <v>0.18059999999999998</v>
      </c>
      <c r="D155" s="112">
        <v>0.33333333333333331</v>
      </c>
      <c r="E155" s="161">
        <v>0.8</v>
      </c>
      <c r="F155" s="113">
        <f t="shared" si="29"/>
        <v>25.219937932000001</v>
      </c>
      <c r="G155" s="114"/>
      <c r="H155" s="110">
        <v>7.68</v>
      </c>
      <c r="I155" s="111">
        <v>0.34175416666666669</v>
      </c>
      <c r="J155" s="110">
        <v>6.24</v>
      </c>
      <c r="K155" s="154">
        <f t="shared" si="30"/>
        <v>4.1210036472250007</v>
      </c>
      <c r="L155" s="114"/>
      <c r="M155" s="110"/>
      <c r="N155" s="115"/>
      <c r="O155" s="109"/>
      <c r="P155" s="116"/>
      <c r="Q155" s="117"/>
      <c r="R155" s="110"/>
      <c r="S155" s="110"/>
      <c r="T155" s="110"/>
      <c r="U155" s="109"/>
      <c r="V155"/>
      <c r="W155"/>
      <c r="X155"/>
      <c r="Y155"/>
      <c r="Z155"/>
      <c r="AA155" s="35"/>
      <c r="AB155" s="35"/>
    </row>
    <row r="156" spans="1:28" s="42" customFormat="1">
      <c r="A156" s="110">
        <v>1885</v>
      </c>
      <c r="B156" s="111">
        <v>8.82</v>
      </c>
      <c r="C156" s="109">
        <v>0.15909999999999999</v>
      </c>
      <c r="D156" s="112">
        <v>0.30769230769230771</v>
      </c>
      <c r="E156" s="161">
        <v>0.383333333</v>
      </c>
      <c r="F156" s="113">
        <f t="shared" si="29"/>
        <v>24.466984967242169</v>
      </c>
      <c r="G156" s="114"/>
      <c r="H156" s="110">
        <v>6.72</v>
      </c>
      <c r="I156" s="111">
        <v>0.34175416666666669</v>
      </c>
      <c r="J156" s="110">
        <v>5.44</v>
      </c>
      <c r="K156" s="154">
        <f t="shared" si="30"/>
        <v>3.9051308472250001</v>
      </c>
      <c r="L156" s="114"/>
      <c r="M156" s="110"/>
      <c r="N156" s="115">
        <v>17.5</v>
      </c>
      <c r="O156" s="150">
        <f t="shared" ref="O156:O186" si="39">N156*0.257732</f>
        <v>4.5103100000000005</v>
      </c>
      <c r="P156" s="116"/>
      <c r="Q156" s="115">
        <f t="shared" ref="Q156:Q185" si="40">(F156+K156+O156)*0.05</f>
        <v>1.6441212907233584</v>
      </c>
      <c r="R156" s="115">
        <f t="shared" ref="R156:R185" si="41">F156+K156+O156+Q156</f>
        <v>34.526547105190531</v>
      </c>
      <c r="S156" s="110"/>
      <c r="T156" s="110"/>
      <c r="U156" s="109"/>
      <c r="V156"/>
      <c r="W156"/>
      <c r="X156"/>
      <c r="Y156"/>
      <c r="Z156"/>
      <c r="AA156" s="35"/>
      <c r="AB156" s="35"/>
    </row>
    <row r="157" spans="1:28" s="42" customFormat="1">
      <c r="A157" s="110">
        <v>1886</v>
      </c>
      <c r="B157" s="111">
        <v>7.3500000000000005</v>
      </c>
      <c r="C157" s="109">
        <v>0.1376</v>
      </c>
      <c r="D157" s="112">
        <v>0.28205128205128205</v>
      </c>
      <c r="E157" s="161">
        <v>0.33333333300000001</v>
      </c>
      <c r="F157" s="113">
        <f t="shared" si="29"/>
        <v>20.768963792626781</v>
      </c>
      <c r="G157" s="114"/>
      <c r="H157" s="110">
        <v>6.24</v>
      </c>
      <c r="I157" s="111">
        <v>0.34175416666666669</v>
      </c>
      <c r="J157" s="110">
        <v>5.44</v>
      </c>
      <c r="K157" s="154">
        <f t="shared" si="30"/>
        <v>3.8289404472250004</v>
      </c>
      <c r="L157" s="114"/>
      <c r="M157" s="110"/>
      <c r="N157" s="115">
        <v>16.75</v>
      </c>
      <c r="O157" s="150">
        <f t="shared" si="39"/>
        <v>4.3170109999999999</v>
      </c>
      <c r="P157" s="116"/>
      <c r="Q157" s="115">
        <f t="shared" si="40"/>
        <v>1.4457457619925893</v>
      </c>
      <c r="R157" s="115">
        <f t="shared" si="41"/>
        <v>30.360661001844374</v>
      </c>
      <c r="S157" s="110"/>
      <c r="T157" s="110"/>
      <c r="U157" s="109"/>
      <c r="V157"/>
      <c r="W157"/>
      <c r="X157"/>
      <c r="Y157"/>
      <c r="Z157"/>
      <c r="AA157" s="35"/>
      <c r="AB157" s="35"/>
    </row>
    <row r="158" spans="1:28" s="42" customFormat="1">
      <c r="A158" s="110">
        <v>1887</v>
      </c>
      <c r="B158" s="111">
        <v>5.88</v>
      </c>
      <c r="C158" s="109">
        <v>0.16770000000000002</v>
      </c>
      <c r="D158" s="112">
        <v>0.30769230769230771</v>
      </c>
      <c r="E158" s="161">
        <v>0.33333333300000001</v>
      </c>
      <c r="F158" s="113">
        <f t="shared" si="29"/>
        <v>18.346969079242168</v>
      </c>
      <c r="G158" s="114"/>
      <c r="H158" s="110">
        <v>5.6</v>
      </c>
      <c r="I158" s="111">
        <v>0.34175416666666669</v>
      </c>
      <c r="J158" s="110">
        <v>5.44</v>
      </c>
      <c r="K158" s="154">
        <f t="shared" si="30"/>
        <v>3.7273532472250004</v>
      </c>
      <c r="L158" s="114"/>
      <c r="M158" s="110"/>
      <c r="N158" s="115">
        <v>16</v>
      </c>
      <c r="O158" s="150">
        <f t="shared" si="39"/>
        <v>4.1237120000000003</v>
      </c>
      <c r="P158" s="116"/>
      <c r="Q158" s="115">
        <f t="shared" si="40"/>
        <v>1.3099017163233586</v>
      </c>
      <c r="R158" s="115">
        <f t="shared" si="41"/>
        <v>27.507936042790529</v>
      </c>
      <c r="S158" s="110"/>
      <c r="T158" s="110"/>
      <c r="U158" s="109"/>
      <c r="V158"/>
      <c r="W158"/>
      <c r="X158"/>
      <c r="Y158"/>
      <c r="Z158"/>
      <c r="AA158" s="35"/>
      <c r="AB158" s="35"/>
    </row>
    <row r="159" spans="1:28" s="42" customFormat="1">
      <c r="A159" s="110">
        <v>1888</v>
      </c>
      <c r="B159" s="111">
        <v>5.88</v>
      </c>
      <c r="C159" s="109">
        <v>0.1376</v>
      </c>
      <c r="D159" s="112">
        <v>0.34871794871794876</v>
      </c>
      <c r="E159" s="161">
        <v>0.3</v>
      </c>
      <c r="F159" s="113">
        <f t="shared" si="29"/>
        <v>18.465963582769234</v>
      </c>
      <c r="G159" s="114"/>
      <c r="H159" s="110">
        <v>5.44</v>
      </c>
      <c r="I159" s="111">
        <v>0.30269722222222223</v>
      </c>
      <c r="J159" s="110">
        <v>5.44</v>
      </c>
      <c r="K159" s="154">
        <f t="shared" si="30"/>
        <v>3.426907523983334</v>
      </c>
      <c r="L159" s="114"/>
      <c r="M159" s="110"/>
      <c r="N159" s="115">
        <v>16.5</v>
      </c>
      <c r="O159" s="150">
        <f t="shared" si="39"/>
        <v>4.2525780000000006</v>
      </c>
      <c r="P159" s="116"/>
      <c r="Q159" s="115">
        <f t="shared" si="40"/>
        <v>1.3072724553376285</v>
      </c>
      <c r="R159" s="115">
        <f t="shared" si="41"/>
        <v>27.452721562090197</v>
      </c>
      <c r="S159" s="110"/>
      <c r="T159" s="110"/>
      <c r="U159" s="109"/>
      <c r="V159"/>
      <c r="W159"/>
      <c r="X159"/>
      <c r="Y159"/>
      <c r="Z159"/>
      <c r="AA159" s="35"/>
      <c r="AB159" s="35"/>
    </row>
    <row r="160" spans="1:28" s="42" customFormat="1">
      <c r="A160" s="110">
        <v>1889</v>
      </c>
      <c r="B160" s="111">
        <v>7.3500000000000005</v>
      </c>
      <c r="C160" s="109">
        <v>0.15909999999999999</v>
      </c>
      <c r="D160" s="112">
        <v>0.33333333333333331</v>
      </c>
      <c r="E160" s="161">
        <v>0.3</v>
      </c>
      <c r="F160" s="113">
        <f t="shared" si="29"/>
        <v>21.642304642000003</v>
      </c>
      <c r="G160" s="114"/>
      <c r="H160" s="110">
        <v>5.6</v>
      </c>
      <c r="I160" s="111">
        <v>0.40034027777777775</v>
      </c>
      <c r="J160" s="110">
        <v>5.6</v>
      </c>
      <c r="K160" s="154">
        <f t="shared" si="30"/>
        <v>4.1526299225416663</v>
      </c>
      <c r="L160" s="114"/>
      <c r="M160" s="110"/>
      <c r="N160" s="115">
        <v>18</v>
      </c>
      <c r="O160" s="150">
        <f t="shared" si="39"/>
        <v>4.639176</v>
      </c>
      <c r="P160" s="116"/>
      <c r="Q160" s="115">
        <f t="shared" si="40"/>
        <v>1.5217055282270835</v>
      </c>
      <c r="R160" s="115">
        <f t="shared" si="41"/>
        <v>31.955816092768753</v>
      </c>
      <c r="S160" s="110"/>
      <c r="T160" s="110"/>
      <c r="U160" s="109"/>
      <c r="V160"/>
      <c r="W160"/>
      <c r="X160"/>
      <c r="Y160"/>
      <c r="Z160"/>
      <c r="AA160" s="35"/>
      <c r="AB160" s="35"/>
    </row>
    <row r="161" spans="1:28" s="42" customFormat="1">
      <c r="A161" s="110">
        <v>1890</v>
      </c>
      <c r="B161" s="111">
        <v>7.3500000000000005</v>
      </c>
      <c r="C161" s="109">
        <v>0.1462</v>
      </c>
      <c r="D161" s="112">
        <v>0.31282051282051293</v>
      </c>
      <c r="E161" s="161">
        <v>0.33333333300000001</v>
      </c>
      <c r="F161" s="113">
        <f t="shared" si="29"/>
        <v>21.249076286165245</v>
      </c>
      <c r="G161" s="114"/>
      <c r="H161" s="110">
        <v>5.6</v>
      </c>
      <c r="I161" s="111">
        <v>0.40034027777777775</v>
      </c>
      <c r="J161" s="110">
        <v>5.6</v>
      </c>
      <c r="K161" s="154">
        <f t="shared" si="30"/>
        <v>4.1526299225416663</v>
      </c>
      <c r="L161" s="114"/>
      <c r="M161" s="110"/>
      <c r="N161" s="115">
        <v>15.75</v>
      </c>
      <c r="O161" s="150">
        <f t="shared" si="39"/>
        <v>4.0592790000000001</v>
      </c>
      <c r="P161" s="116"/>
      <c r="Q161" s="115">
        <f t="shared" si="40"/>
        <v>1.4730492604353458</v>
      </c>
      <c r="R161" s="115">
        <f t="shared" si="41"/>
        <v>30.934034469142258</v>
      </c>
      <c r="S161" s="110"/>
      <c r="T161" s="110"/>
      <c r="U161" s="109"/>
      <c r="V161"/>
      <c r="W161"/>
      <c r="X161"/>
      <c r="Y161"/>
      <c r="Z161"/>
      <c r="AA161" s="35"/>
      <c r="AB161" s="35"/>
    </row>
    <row r="162" spans="1:28" s="42" customFormat="1">
      <c r="A162" s="110">
        <v>1891</v>
      </c>
      <c r="B162" s="111">
        <v>11.76</v>
      </c>
      <c r="C162" s="109">
        <v>0.1462</v>
      </c>
      <c r="D162" s="112">
        <v>0.32307692307692309</v>
      </c>
      <c r="E162" s="161">
        <v>0.28333333300000002</v>
      </c>
      <c r="F162" s="113">
        <f t="shared" si="29"/>
        <v>30.658076570011396</v>
      </c>
      <c r="G162" s="114"/>
      <c r="H162" s="110">
        <v>5.6</v>
      </c>
      <c r="I162" s="111">
        <v>0.40034027777777775</v>
      </c>
      <c r="J162" s="110">
        <v>5.6</v>
      </c>
      <c r="K162" s="154">
        <f t="shared" si="30"/>
        <v>4.1526299225416663</v>
      </c>
      <c r="L162" s="114"/>
      <c r="M162" s="110"/>
      <c r="N162" s="115">
        <v>12.5</v>
      </c>
      <c r="O162" s="150">
        <f t="shared" si="39"/>
        <v>3.2216500000000003</v>
      </c>
      <c r="P162" s="116"/>
      <c r="Q162" s="115">
        <f t="shared" si="40"/>
        <v>1.9016178246276532</v>
      </c>
      <c r="R162" s="115">
        <f t="shared" si="41"/>
        <v>39.933974317180713</v>
      </c>
      <c r="S162" s="110"/>
      <c r="T162" s="110"/>
      <c r="U162" s="109"/>
      <c r="V162"/>
      <c r="W162"/>
      <c r="X162"/>
      <c r="Y162"/>
      <c r="Z162"/>
      <c r="AA162" s="35"/>
      <c r="AB162" s="35"/>
    </row>
    <row r="163" spans="1:28" s="42" customFormat="1">
      <c r="A163" s="110">
        <v>1892</v>
      </c>
      <c r="B163" s="111">
        <v>11.76</v>
      </c>
      <c r="C163" s="109">
        <v>0.16339999999999999</v>
      </c>
      <c r="D163" s="112">
        <v>0.32307692307692309</v>
      </c>
      <c r="E163" s="161">
        <v>0.28333333300000002</v>
      </c>
      <c r="F163" s="113">
        <f t="shared" si="29"/>
        <v>30.867832634011396</v>
      </c>
      <c r="G163" s="114"/>
      <c r="H163" s="110">
        <v>6.24</v>
      </c>
      <c r="I163" s="111">
        <v>0.40034027777777775</v>
      </c>
      <c r="J163" s="110">
        <v>5.6</v>
      </c>
      <c r="K163" s="154">
        <f t="shared" si="30"/>
        <v>4.2542171225416663</v>
      </c>
      <c r="L163" s="114"/>
      <c r="M163" s="110"/>
      <c r="N163" s="115">
        <v>11.5</v>
      </c>
      <c r="O163" s="150">
        <f t="shared" si="39"/>
        <v>2.9639180000000001</v>
      </c>
      <c r="P163" s="116"/>
      <c r="Q163" s="115">
        <f t="shared" si="40"/>
        <v>1.9042983878276531</v>
      </c>
      <c r="R163" s="115">
        <f t="shared" si="41"/>
        <v>39.990266144380712</v>
      </c>
      <c r="S163" s="110"/>
      <c r="T163" s="110"/>
      <c r="U163" s="109"/>
      <c r="V163"/>
      <c r="W163"/>
      <c r="X163"/>
      <c r="Y163"/>
      <c r="Z163"/>
      <c r="AA163" s="35"/>
      <c r="AB163" s="35"/>
    </row>
    <row r="164" spans="1:28" s="42" customFormat="1">
      <c r="A164" s="110">
        <v>1893</v>
      </c>
      <c r="B164" s="111">
        <v>8.82</v>
      </c>
      <c r="C164" s="109">
        <v>0.1462</v>
      </c>
      <c r="D164" s="112">
        <v>0.32307692307692309</v>
      </c>
      <c r="E164" s="161">
        <v>0.26666666700000002</v>
      </c>
      <c r="F164" s="113">
        <f t="shared" si="29"/>
        <v>24.447427650296294</v>
      </c>
      <c r="G164" s="114"/>
      <c r="H164" s="110">
        <v>6.4</v>
      </c>
      <c r="I164" s="111">
        <v>0.40034027777777775</v>
      </c>
      <c r="J164" s="110">
        <v>4.32</v>
      </c>
      <c r="K164" s="154">
        <f t="shared" si="30"/>
        <v>4.1780267225416665</v>
      </c>
      <c r="L164" s="114"/>
      <c r="M164" s="110"/>
      <c r="N164" s="115">
        <v>16</v>
      </c>
      <c r="O164" s="150">
        <f t="shared" si="39"/>
        <v>4.1237120000000003</v>
      </c>
      <c r="P164" s="116"/>
      <c r="Q164" s="115">
        <f t="shared" si="40"/>
        <v>1.6374583186418983</v>
      </c>
      <c r="R164" s="115">
        <f t="shared" si="41"/>
        <v>34.386624691479859</v>
      </c>
      <c r="S164" s="110"/>
      <c r="T164" s="110"/>
      <c r="U164" s="109"/>
      <c r="V164"/>
      <c r="W164"/>
      <c r="X164"/>
      <c r="Y164"/>
      <c r="Z164"/>
      <c r="AA164" s="35"/>
      <c r="AB164" s="35"/>
    </row>
    <row r="165" spans="1:28" s="42" customFormat="1">
      <c r="A165" s="110">
        <v>1894</v>
      </c>
      <c r="B165" s="111">
        <v>5.88</v>
      </c>
      <c r="C165" s="109">
        <v>0.15049999999999999</v>
      </c>
      <c r="D165" s="112">
        <v>0.32307692307692309</v>
      </c>
      <c r="E165" s="161">
        <v>0.25</v>
      </c>
      <c r="F165" s="113">
        <f t="shared" si="29"/>
        <v>18.289217746153849</v>
      </c>
      <c r="G165" s="114"/>
      <c r="H165" s="110">
        <v>6.4</v>
      </c>
      <c r="I165" s="111">
        <v>0.40034027777777775</v>
      </c>
      <c r="J165" s="110">
        <v>4.6399999999999997</v>
      </c>
      <c r="K165" s="154">
        <f t="shared" si="30"/>
        <v>4.2034235225416667</v>
      </c>
      <c r="L165" s="114"/>
      <c r="M165" s="110"/>
      <c r="N165" s="115">
        <v>17.5</v>
      </c>
      <c r="O165" s="150">
        <f t="shared" si="39"/>
        <v>4.5103100000000005</v>
      </c>
      <c r="P165" s="116"/>
      <c r="Q165" s="115">
        <f t="shared" si="40"/>
        <v>1.3501475634347759</v>
      </c>
      <c r="R165" s="115">
        <f t="shared" si="41"/>
        <v>28.353098832130293</v>
      </c>
      <c r="S165" s="110"/>
      <c r="T165" s="110"/>
      <c r="U165" s="109"/>
      <c r="V165"/>
      <c r="W165"/>
      <c r="X165"/>
      <c r="Y165"/>
      <c r="Z165"/>
      <c r="AA165" s="35"/>
      <c r="AB165" s="35"/>
    </row>
    <row r="166" spans="1:28" s="42" customFormat="1">
      <c r="A166" s="110">
        <v>1895</v>
      </c>
      <c r="B166" s="111">
        <v>5.88</v>
      </c>
      <c r="C166" s="109">
        <v>0.1462</v>
      </c>
      <c r="D166" s="112">
        <v>0.34871794871794876</v>
      </c>
      <c r="E166" s="161">
        <v>0.25</v>
      </c>
      <c r="F166" s="113">
        <f t="shared" si="29"/>
        <v>18.549474114769232</v>
      </c>
      <c r="G166" s="114"/>
      <c r="H166" s="110">
        <v>6.4</v>
      </c>
      <c r="I166" s="111">
        <v>0.40034027777777775</v>
      </c>
      <c r="J166" s="110">
        <v>4.6399999999999997</v>
      </c>
      <c r="K166" s="154">
        <f t="shared" si="30"/>
        <v>4.2034235225416667</v>
      </c>
      <c r="L166" s="114"/>
      <c r="M166" s="110"/>
      <c r="N166" s="115">
        <v>16</v>
      </c>
      <c r="O166" s="150">
        <f t="shared" si="39"/>
        <v>4.1237120000000003</v>
      </c>
      <c r="P166" s="116"/>
      <c r="Q166" s="115">
        <f t="shared" si="40"/>
        <v>1.3438304818655451</v>
      </c>
      <c r="R166" s="115">
        <f t="shared" si="41"/>
        <v>28.220440119176445</v>
      </c>
      <c r="S166" s="110"/>
      <c r="T166" s="110"/>
      <c r="U166" s="109"/>
      <c r="V166"/>
      <c r="W166"/>
      <c r="X166"/>
      <c r="Y166"/>
      <c r="Z166"/>
      <c r="AA166" s="35"/>
      <c r="AB166" s="35"/>
    </row>
    <row r="167" spans="1:28" s="42" customFormat="1">
      <c r="A167" s="110">
        <v>1896</v>
      </c>
      <c r="B167" s="111">
        <v>5.88</v>
      </c>
      <c r="C167" s="109">
        <v>0.16770000000000002</v>
      </c>
      <c r="D167" s="112">
        <v>0.32307692307692309</v>
      </c>
      <c r="E167" s="161">
        <v>0.3</v>
      </c>
      <c r="F167" s="113">
        <f t="shared" si="29"/>
        <v>18.520341310153846</v>
      </c>
      <c r="G167" s="114"/>
      <c r="H167" s="110">
        <v>6.4</v>
      </c>
      <c r="I167" s="111">
        <v>0.40034027777777775</v>
      </c>
      <c r="J167" s="110">
        <v>4.6399999999999997</v>
      </c>
      <c r="K167" s="154">
        <f t="shared" si="30"/>
        <v>4.2034235225416667</v>
      </c>
      <c r="L167" s="114"/>
      <c r="M167" s="110"/>
      <c r="N167" s="115">
        <v>15.5</v>
      </c>
      <c r="O167" s="150">
        <f t="shared" si="39"/>
        <v>3.9948460000000003</v>
      </c>
      <c r="P167" s="116"/>
      <c r="Q167" s="115">
        <f t="shared" si="40"/>
        <v>1.3359305416347755</v>
      </c>
      <c r="R167" s="115">
        <f t="shared" si="41"/>
        <v>28.054541374330284</v>
      </c>
      <c r="S167" s="110"/>
      <c r="T167" s="110"/>
      <c r="U167" s="109">
        <f t="shared" ref="U167:U185" si="42">R167/1.33</f>
        <v>21.0936401310754</v>
      </c>
      <c r="V167"/>
      <c r="W167"/>
      <c r="X167"/>
      <c r="Y167"/>
      <c r="Z167"/>
      <c r="AA167" s="35"/>
      <c r="AB167" s="35"/>
    </row>
    <row r="168" spans="1:28" s="42" customFormat="1">
      <c r="A168" s="110">
        <v>1897</v>
      </c>
      <c r="B168" s="111">
        <v>7.3500000000000005</v>
      </c>
      <c r="C168" s="109">
        <v>0.1376</v>
      </c>
      <c r="D168" s="112">
        <v>0.32307692307692309</v>
      </c>
      <c r="E168" s="161">
        <v>0.3</v>
      </c>
      <c r="F168" s="113">
        <f t="shared" si="29"/>
        <v>21.255031408153847</v>
      </c>
      <c r="G168" s="114"/>
      <c r="H168" s="110">
        <v>6.4</v>
      </c>
      <c r="I168" s="111">
        <v>0.41498749999999995</v>
      </c>
      <c r="J168" s="110">
        <v>4.6399999999999997</v>
      </c>
      <c r="K168" s="154">
        <f t="shared" si="30"/>
        <v>4.306572981825</v>
      </c>
      <c r="L168" s="114"/>
      <c r="M168" s="110"/>
      <c r="N168" s="115">
        <v>14</v>
      </c>
      <c r="O168" s="150">
        <f t="shared" si="39"/>
        <v>3.6082480000000001</v>
      </c>
      <c r="P168" s="116"/>
      <c r="Q168" s="115">
        <f t="shared" si="40"/>
        <v>1.4584926194989425</v>
      </c>
      <c r="R168" s="115">
        <f t="shared" si="41"/>
        <v>30.62834500947779</v>
      </c>
      <c r="S168" s="110"/>
      <c r="T168" s="110"/>
      <c r="U168" s="109">
        <f t="shared" si="42"/>
        <v>23.028830834193826</v>
      </c>
      <c r="V168"/>
      <c r="W168"/>
      <c r="X168"/>
      <c r="Y168"/>
      <c r="Z168"/>
      <c r="AA168" s="35"/>
      <c r="AB168" s="35"/>
    </row>
    <row r="169" spans="1:28" s="42" customFormat="1">
      <c r="A169" s="110">
        <v>1898</v>
      </c>
      <c r="B169" s="111">
        <v>8.82</v>
      </c>
      <c r="C169" s="109">
        <v>0.15909999999999999</v>
      </c>
      <c r="D169" s="112">
        <v>0.33333333333333331</v>
      </c>
      <c r="E169" s="161">
        <v>0.4</v>
      </c>
      <c r="F169" s="113">
        <f t="shared" si="29"/>
        <v>24.786802852000005</v>
      </c>
      <c r="G169" s="114"/>
      <c r="H169" s="110">
        <v>6.4</v>
      </c>
      <c r="I169" s="111">
        <v>0.41498749999999995</v>
      </c>
      <c r="J169" s="110">
        <v>4.6399999999999997</v>
      </c>
      <c r="K169" s="154">
        <f t="shared" si="30"/>
        <v>4.306572981825</v>
      </c>
      <c r="L169" s="114"/>
      <c r="M169" s="110"/>
      <c r="N169" s="115">
        <v>14</v>
      </c>
      <c r="O169" s="150">
        <f t="shared" si="39"/>
        <v>3.6082480000000001</v>
      </c>
      <c r="P169" s="116"/>
      <c r="Q169" s="115">
        <f t="shared" si="40"/>
        <v>1.6350811916912502</v>
      </c>
      <c r="R169" s="115">
        <f t="shared" si="41"/>
        <v>34.336705025516252</v>
      </c>
      <c r="S169" s="110"/>
      <c r="T169" s="110"/>
      <c r="U169" s="109">
        <f t="shared" si="42"/>
        <v>25.817071447756579</v>
      </c>
      <c r="V169"/>
      <c r="W169"/>
      <c r="X169"/>
      <c r="Y169"/>
      <c r="Z169"/>
      <c r="AA169" s="35"/>
      <c r="AB169" s="35"/>
    </row>
    <row r="170" spans="1:28" s="42" customFormat="1">
      <c r="A170" s="110">
        <v>1899</v>
      </c>
      <c r="B170" s="111">
        <v>8.82</v>
      </c>
      <c r="C170" s="109">
        <v>0.15049999999999999</v>
      </c>
      <c r="D170" s="112">
        <v>0.33846153846153848</v>
      </c>
      <c r="E170" s="161">
        <v>0.35</v>
      </c>
      <c r="F170" s="113">
        <f t="shared" si="29"/>
        <v>24.723096396923079</v>
      </c>
      <c r="G170" s="114"/>
      <c r="H170" s="110">
        <v>6.4</v>
      </c>
      <c r="I170" s="111">
        <v>0.41666666666666669</v>
      </c>
      <c r="J170" s="110">
        <v>4.6399999999999997</v>
      </c>
      <c r="K170" s="154">
        <f t="shared" si="30"/>
        <v>4.3183981000000005</v>
      </c>
      <c r="L170" s="114"/>
      <c r="M170" s="110"/>
      <c r="N170" s="115">
        <v>15</v>
      </c>
      <c r="O170" s="150">
        <f t="shared" si="39"/>
        <v>3.8659800000000004</v>
      </c>
      <c r="P170" s="116"/>
      <c r="Q170" s="115">
        <f t="shared" si="40"/>
        <v>1.645373724846154</v>
      </c>
      <c r="R170" s="115">
        <f t="shared" si="41"/>
        <v>34.552848221769231</v>
      </c>
      <c r="S170" s="110"/>
      <c r="T170" s="110"/>
      <c r="U170" s="109">
        <f t="shared" si="42"/>
        <v>25.979585129149797</v>
      </c>
      <c r="V170"/>
      <c r="W170"/>
      <c r="X170"/>
      <c r="Y170"/>
      <c r="Z170"/>
      <c r="AA170" s="35"/>
      <c r="AB170" s="35"/>
    </row>
    <row r="171" spans="1:28" s="42" customFormat="1">
      <c r="A171" s="110">
        <v>1900</v>
      </c>
      <c r="B171" s="111">
        <v>7.3500000000000005</v>
      </c>
      <c r="C171" s="109">
        <v>0.1462</v>
      </c>
      <c r="D171" s="112">
        <v>0.33974358974358976</v>
      </c>
      <c r="E171" s="161">
        <v>0.35</v>
      </c>
      <c r="F171" s="113">
        <f t="shared" si="29"/>
        <v>21.584528940153849</v>
      </c>
      <c r="G171" s="114"/>
      <c r="H171" s="110">
        <v>6.4</v>
      </c>
      <c r="I171" s="111">
        <v>0.41498749999999995</v>
      </c>
      <c r="J171" s="110">
        <v>4.6399999999999997</v>
      </c>
      <c r="K171" s="154">
        <f t="shared" si="30"/>
        <v>4.306572981825</v>
      </c>
      <c r="L171" s="114"/>
      <c r="M171" s="110"/>
      <c r="N171" s="115">
        <v>16.75</v>
      </c>
      <c r="O171" s="150">
        <f t="shared" si="39"/>
        <v>4.3170109999999999</v>
      </c>
      <c r="P171" s="116"/>
      <c r="Q171" s="115">
        <f t="shared" si="40"/>
        <v>1.5104056460989426</v>
      </c>
      <c r="R171" s="115">
        <f t="shared" si="41"/>
        <v>31.718518568077791</v>
      </c>
      <c r="S171" s="110"/>
      <c r="T171" s="110"/>
      <c r="U171" s="109">
        <f t="shared" si="42"/>
        <v>23.848510201562249</v>
      </c>
      <c r="V171"/>
      <c r="W171"/>
      <c r="X171"/>
      <c r="Y171"/>
      <c r="Z171"/>
      <c r="AA171" s="35"/>
      <c r="AB171" s="35"/>
    </row>
    <row r="172" spans="1:28" s="42" customFormat="1">
      <c r="A172" s="110">
        <v>1901</v>
      </c>
      <c r="B172" s="111">
        <v>7.3500000000000005</v>
      </c>
      <c r="C172" s="109">
        <v>0.1419</v>
      </c>
      <c r="D172" s="112">
        <v>0.34102564102564104</v>
      </c>
      <c r="E172" s="161">
        <v>0.28000000000000003</v>
      </c>
      <c r="F172" s="113">
        <f t="shared" si="29"/>
        <v>21.517810193384619</v>
      </c>
      <c r="G172" s="114"/>
      <c r="H172" s="110">
        <v>6.4</v>
      </c>
      <c r="I172" s="111">
        <v>0.41498749999999995</v>
      </c>
      <c r="J172" s="110">
        <v>4.6399999999999997</v>
      </c>
      <c r="K172" s="154">
        <f t="shared" si="30"/>
        <v>4.306572981825</v>
      </c>
      <c r="L172" s="114"/>
      <c r="M172" s="110"/>
      <c r="N172" s="115">
        <v>17.25</v>
      </c>
      <c r="O172" s="150">
        <f t="shared" si="39"/>
        <v>4.4458770000000003</v>
      </c>
      <c r="P172" s="116"/>
      <c r="Q172" s="115">
        <f t="shared" si="40"/>
        <v>1.5135130087604809</v>
      </c>
      <c r="R172" s="115">
        <f t="shared" si="41"/>
        <v>31.783773183970098</v>
      </c>
      <c r="S172" s="110"/>
      <c r="T172" s="110"/>
      <c r="U172" s="109">
        <f t="shared" si="42"/>
        <v>23.897573822533907</v>
      </c>
      <c r="V172"/>
      <c r="W172"/>
      <c r="X172"/>
      <c r="Y172"/>
      <c r="Z172"/>
      <c r="AA172" s="35"/>
      <c r="AB172" s="35"/>
    </row>
    <row r="173" spans="1:28" s="42" customFormat="1">
      <c r="A173" s="110">
        <v>1902</v>
      </c>
      <c r="B173" s="111">
        <v>8.82</v>
      </c>
      <c r="C173" s="109">
        <v>0.15049999999999999</v>
      </c>
      <c r="D173" s="112">
        <v>0.35897435897435898</v>
      </c>
      <c r="E173" s="161">
        <v>0.28000000000000003</v>
      </c>
      <c r="F173" s="113">
        <f t="shared" si="29"/>
        <v>24.943338204615387</v>
      </c>
      <c r="G173" s="114"/>
      <c r="H173" s="110">
        <v>6.56</v>
      </c>
      <c r="I173" s="111">
        <v>0.41986944444444446</v>
      </c>
      <c r="J173" s="110">
        <v>4.6399999999999997</v>
      </c>
      <c r="K173" s="154">
        <f t="shared" si="30"/>
        <v>4.366349674616667</v>
      </c>
      <c r="L173" s="114"/>
      <c r="M173" s="110"/>
      <c r="N173" s="115">
        <v>16.75</v>
      </c>
      <c r="O173" s="150">
        <f t="shared" si="39"/>
        <v>4.3170109999999999</v>
      </c>
      <c r="P173" s="116"/>
      <c r="Q173" s="115">
        <f t="shared" si="40"/>
        <v>1.6813349439616028</v>
      </c>
      <c r="R173" s="115">
        <f t="shared" si="41"/>
        <v>35.308033823193654</v>
      </c>
      <c r="S173" s="110"/>
      <c r="T173" s="110"/>
      <c r="U173" s="109">
        <f t="shared" si="42"/>
        <v>26.547393852025301</v>
      </c>
      <c r="V173"/>
      <c r="W173"/>
      <c r="X173"/>
      <c r="Y173"/>
      <c r="Z173"/>
      <c r="AA173" s="35"/>
      <c r="AB173" s="35"/>
    </row>
    <row r="174" spans="1:28" s="42" customFormat="1">
      <c r="A174" s="110">
        <v>1903</v>
      </c>
      <c r="B174" s="111">
        <v>8.82</v>
      </c>
      <c r="C174" s="109">
        <v>0.16770000000000002</v>
      </c>
      <c r="D174" s="112">
        <v>0.37948717948717953</v>
      </c>
      <c r="E174" s="161">
        <v>0.28000000000000003</v>
      </c>
      <c r="F174" s="113">
        <f t="shared" si="29"/>
        <v>25.403250576307695</v>
      </c>
      <c r="G174" s="114"/>
      <c r="H174" s="110">
        <v>7.36</v>
      </c>
      <c r="I174" s="111">
        <v>0.41986944444444446</v>
      </c>
      <c r="J174" s="110">
        <v>4.6399999999999997</v>
      </c>
      <c r="K174" s="154">
        <f t="shared" si="30"/>
        <v>4.4933336746166672</v>
      </c>
      <c r="L174" s="114"/>
      <c r="M174" s="110"/>
      <c r="N174" s="115">
        <v>17.25</v>
      </c>
      <c r="O174" s="150">
        <f t="shared" si="39"/>
        <v>4.4458770000000003</v>
      </c>
      <c r="P174" s="116"/>
      <c r="Q174" s="115">
        <f t="shared" si="40"/>
        <v>1.7171230625462184</v>
      </c>
      <c r="R174" s="115">
        <f t="shared" si="41"/>
        <v>36.059584313470587</v>
      </c>
      <c r="S174" s="110"/>
      <c r="T174" s="110"/>
      <c r="U174" s="109">
        <f t="shared" si="42"/>
        <v>27.112469408624499</v>
      </c>
      <c r="V174"/>
      <c r="W174"/>
      <c r="X174"/>
      <c r="Y174"/>
      <c r="Z174"/>
      <c r="AA174" s="35"/>
      <c r="AB174" s="35"/>
    </row>
    <row r="175" spans="1:28" s="42" customFormat="1">
      <c r="A175" s="110">
        <v>1904</v>
      </c>
      <c r="B175" s="111">
        <v>8.82</v>
      </c>
      <c r="C175" s="109">
        <v>0.18059999999999998</v>
      </c>
      <c r="D175" s="112">
        <v>0.4</v>
      </c>
      <c r="E175" s="161">
        <v>0.28999999999999998</v>
      </c>
      <c r="F175" s="113">
        <f t="shared" si="29"/>
        <v>25.814997432000002</v>
      </c>
      <c r="G175" s="114"/>
      <c r="H175" s="110">
        <v>7.36</v>
      </c>
      <c r="I175" s="111">
        <v>0.41986944444444446</v>
      </c>
      <c r="J175" s="110">
        <v>4.6399999999999997</v>
      </c>
      <c r="K175" s="154">
        <f t="shared" si="30"/>
        <v>4.4933336746166672</v>
      </c>
      <c r="L175" s="114"/>
      <c r="M175" s="110"/>
      <c r="N175" s="115">
        <v>16.75</v>
      </c>
      <c r="O175" s="150">
        <f t="shared" si="39"/>
        <v>4.3170109999999999</v>
      </c>
      <c r="P175" s="116"/>
      <c r="Q175" s="115">
        <f t="shared" si="40"/>
        <v>1.7312671053308337</v>
      </c>
      <c r="R175" s="115">
        <f t="shared" si="41"/>
        <v>36.356609211947507</v>
      </c>
      <c r="S175" s="110"/>
      <c r="T175" s="110"/>
      <c r="U175" s="109">
        <f t="shared" si="42"/>
        <v>27.335796399960529</v>
      </c>
      <c r="V175"/>
      <c r="W175"/>
      <c r="X175"/>
      <c r="Y175"/>
      <c r="Z175"/>
      <c r="AA175" s="35"/>
      <c r="AB175" s="35"/>
    </row>
    <row r="176" spans="1:28" s="42" customFormat="1">
      <c r="A176" s="110">
        <v>1905</v>
      </c>
      <c r="B176" s="111">
        <v>8.82</v>
      </c>
      <c r="C176" s="109">
        <v>0.17200000000000001</v>
      </c>
      <c r="D176" s="112">
        <v>0.4102564102564103</v>
      </c>
      <c r="E176" s="161">
        <v>0.3</v>
      </c>
      <c r="F176" s="113">
        <f t="shared" si="29"/>
        <v>25.839471053846157</v>
      </c>
      <c r="G176" s="114"/>
      <c r="H176" s="110">
        <v>7.36</v>
      </c>
      <c r="I176" s="111">
        <v>0.41986944444444446</v>
      </c>
      <c r="J176" s="110">
        <v>4.16</v>
      </c>
      <c r="K176" s="154">
        <f t="shared" si="30"/>
        <v>4.4552384746166673</v>
      </c>
      <c r="L176" s="114"/>
      <c r="M176" s="110"/>
      <c r="N176" s="115">
        <v>13</v>
      </c>
      <c r="O176" s="150">
        <f t="shared" si="39"/>
        <v>3.3505160000000003</v>
      </c>
      <c r="P176" s="116"/>
      <c r="Q176" s="115">
        <f t="shared" si="40"/>
        <v>1.6822612764231413</v>
      </c>
      <c r="R176" s="115">
        <f t="shared" si="41"/>
        <v>35.327486804885964</v>
      </c>
      <c r="S176" s="110"/>
      <c r="T176" s="110"/>
      <c r="U176" s="109">
        <f t="shared" si="42"/>
        <v>26.562020154049595</v>
      </c>
      <c r="V176"/>
      <c r="W176"/>
      <c r="X176"/>
      <c r="Y176"/>
      <c r="Z176"/>
      <c r="AA176" s="35"/>
      <c r="AB176" s="35"/>
    </row>
    <row r="177" spans="1:28" s="42" customFormat="1">
      <c r="A177" s="110">
        <v>1906</v>
      </c>
      <c r="B177" s="111">
        <v>10.290000000000001</v>
      </c>
      <c r="C177" s="109">
        <v>0.1978</v>
      </c>
      <c r="D177" s="112">
        <v>0.44102564102564112</v>
      </c>
      <c r="E177" s="161">
        <v>0.28000000000000003</v>
      </c>
      <c r="F177" s="113">
        <f t="shared" si="29"/>
        <v>29.622555821384619</v>
      </c>
      <c r="G177" s="114"/>
      <c r="H177" s="110">
        <v>7.36</v>
      </c>
      <c r="I177" s="111">
        <v>0.41986944444444446</v>
      </c>
      <c r="J177" s="110">
        <v>4.16</v>
      </c>
      <c r="K177" s="154">
        <f t="shared" si="30"/>
        <v>4.4552384746166673</v>
      </c>
      <c r="L177" s="114"/>
      <c r="M177" s="110"/>
      <c r="N177" s="115">
        <v>14.5</v>
      </c>
      <c r="O177" s="150">
        <f t="shared" si="39"/>
        <v>3.737114</v>
      </c>
      <c r="P177" s="116"/>
      <c r="Q177" s="115">
        <f t="shared" si="40"/>
        <v>1.8907454148000644</v>
      </c>
      <c r="R177" s="115">
        <f t="shared" si="41"/>
        <v>39.70565371080135</v>
      </c>
      <c r="S177" s="110"/>
      <c r="T177" s="110"/>
      <c r="U177" s="109">
        <f t="shared" si="42"/>
        <v>29.853874970527329</v>
      </c>
      <c r="V177"/>
      <c r="W177"/>
      <c r="X177"/>
      <c r="Y177"/>
      <c r="Z177"/>
      <c r="AA177" s="35"/>
      <c r="AB177" s="35"/>
    </row>
    <row r="178" spans="1:28" s="42" customFormat="1">
      <c r="A178" s="110">
        <v>1907</v>
      </c>
      <c r="B178" s="111">
        <v>14.700000000000001</v>
      </c>
      <c r="C178" s="109">
        <v>0.2064</v>
      </c>
      <c r="D178" s="112">
        <v>0.4</v>
      </c>
      <c r="E178" s="161">
        <v>0.28000000000000003</v>
      </c>
      <c r="F178" s="113">
        <f t="shared" si="29"/>
        <v>38.532410868000007</v>
      </c>
      <c r="G178" s="114"/>
      <c r="H178" s="110">
        <v>8.48</v>
      </c>
      <c r="I178" s="111">
        <v>0.41986944444444446</v>
      </c>
      <c r="J178" s="110">
        <v>4.8</v>
      </c>
      <c r="K178" s="154">
        <f t="shared" si="30"/>
        <v>4.6838096746166666</v>
      </c>
      <c r="L178" s="114"/>
      <c r="M178" s="110"/>
      <c r="N178" s="115">
        <v>17</v>
      </c>
      <c r="O178" s="150">
        <f t="shared" si="39"/>
        <v>4.3814440000000001</v>
      </c>
      <c r="P178" s="116"/>
      <c r="Q178" s="115">
        <f t="shared" si="40"/>
        <v>2.3798832271308341</v>
      </c>
      <c r="R178" s="115">
        <f t="shared" si="41"/>
        <v>49.97754776974751</v>
      </c>
      <c r="S178" s="110"/>
      <c r="T178" s="110"/>
      <c r="U178" s="109">
        <f t="shared" si="42"/>
        <v>37.577103586276323</v>
      </c>
      <c r="V178"/>
      <c r="W178"/>
      <c r="X178"/>
      <c r="Y178"/>
      <c r="Z178"/>
      <c r="AA178" s="35"/>
      <c r="AB178" s="35"/>
    </row>
    <row r="179" spans="1:28" s="42" customFormat="1">
      <c r="A179" s="110">
        <v>1908</v>
      </c>
      <c r="B179" s="111">
        <v>14.700000000000001</v>
      </c>
      <c r="C179" s="109">
        <v>0.23650000000000002</v>
      </c>
      <c r="D179" s="112">
        <v>0.41794871794871796</v>
      </c>
      <c r="E179" s="161">
        <v>0.27</v>
      </c>
      <c r="F179" s="113">
        <f t="shared" si="29"/>
        <v>39.114097249230774</v>
      </c>
      <c r="G179" s="114"/>
      <c r="H179" s="110">
        <v>8.48</v>
      </c>
      <c r="I179" s="111">
        <v>0.41986944444444446</v>
      </c>
      <c r="J179" s="110">
        <v>4.96</v>
      </c>
      <c r="K179" s="154">
        <f t="shared" si="30"/>
        <v>4.6965080746166672</v>
      </c>
      <c r="L179" s="114"/>
      <c r="M179" s="110"/>
      <c r="N179" s="115">
        <v>17</v>
      </c>
      <c r="O179" s="150">
        <f t="shared" si="39"/>
        <v>4.3814440000000001</v>
      </c>
      <c r="P179" s="116"/>
      <c r="Q179" s="115">
        <f t="shared" si="40"/>
        <v>2.4096024661923723</v>
      </c>
      <c r="R179" s="115">
        <f t="shared" si="41"/>
        <v>50.601651790039817</v>
      </c>
      <c r="S179" s="110"/>
      <c r="T179" s="110"/>
      <c r="U179" s="109">
        <f t="shared" si="42"/>
        <v>38.046354729353247</v>
      </c>
      <c r="V179"/>
      <c r="W179"/>
      <c r="X179"/>
      <c r="Y179"/>
      <c r="Z179"/>
      <c r="AA179" s="35"/>
      <c r="AB179" s="35"/>
    </row>
    <row r="180" spans="1:28" s="42" customFormat="1">
      <c r="A180" s="110">
        <v>1909</v>
      </c>
      <c r="B180" s="111">
        <v>13.229999999999999</v>
      </c>
      <c r="C180" s="109">
        <v>0.21929999999999999</v>
      </c>
      <c r="D180" s="112">
        <v>0.41666666666666669</v>
      </c>
      <c r="E180" s="161">
        <v>0.32</v>
      </c>
      <c r="F180" s="113">
        <f t="shared" si="29"/>
        <v>35.808310706</v>
      </c>
      <c r="G180" s="114"/>
      <c r="H180" s="110">
        <v>8.48</v>
      </c>
      <c r="I180" s="111">
        <v>0.41986944444444446</v>
      </c>
      <c r="J180" s="110">
        <v>4.96</v>
      </c>
      <c r="K180" s="154">
        <f t="shared" si="30"/>
        <v>4.6965080746166672</v>
      </c>
      <c r="L180" s="114"/>
      <c r="M180" s="110"/>
      <c r="N180" s="115">
        <v>17</v>
      </c>
      <c r="O180" s="150">
        <f t="shared" si="39"/>
        <v>4.3814440000000001</v>
      </c>
      <c r="P180" s="116"/>
      <c r="Q180" s="115">
        <f t="shared" si="40"/>
        <v>2.2443131390308335</v>
      </c>
      <c r="R180" s="115">
        <f t="shared" si="41"/>
        <v>47.130575919647505</v>
      </c>
      <c r="S180" s="110"/>
      <c r="T180" s="110"/>
      <c r="U180" s="109">
        <f t="shared" si="42"/>
        <v>35.436523247855263</v>
      </c>
      <c r="V180"/>
      <c r="W180"/>
      <c r="X180"/>
      <c r="Y180"/>
      <c r="Z180"/>
      <c r="AA180" s="35"/>
      <c r="AB180" s="35"/>
    </row>
    <row r="181" spans="1:28" s="42" customFormat="1">
      <c r="A181" s="110">
        <v>1910</v>
      </c>
      <c r="B181" s="111">
        <v>10.290000000000001</v>
      </c>
      <c r="C181" s="109">
        <v>0.24080000000000001</v>
      </c>
      <c r="D181" s="112">
        <v>0.44871794871794868</v>
      </c>
      <c r="E181" s="161">
        <v>0.3</v>
      </c>
      <c r="F181" s="113">
        <f t="shared" si="29"/>
        <v>30.249301596769232</v>
      </c>
      <c r="G181" s="114"/>
      <c r="H181" s="110">
        <v>8.48</v>
      </c>
      <c r="I181" s="111">
        <v>0.41986944444444446</v>
      </c>
      <c r="J181" s="110">
        <v>4.96</v>
      </c>
      <c r="K181" s="154">
        <f t="shared" si="30"/>
        <v>4.6965080746166672</v>
      </c>
      <c r="L181" s="114"/>
      <c r="M181" s="110"/>
      <c r="N181" s="115">
        <v>17</v>
      </c>
      <c r="O181" s="150">
        <f t="shared" si="39"/>
        <v>4.3814440000000001</v>
      </c>
      <c r="P181" s="116"/>
      <c r="Q181" s="115">
        <f t="shared" si="40"/>
        <v>1.9663626835692953</v>
      </c>
      <c r="R181" s="115">
        <f t="shared" si="41"/>
        <v>41.293616354955198</v>
      </c>
      <c r="S181" s="110"/>
      <c r="T181" s="110"/>
      <c r="U181" s="109">
        <f t="shared" si="42"/>
        <v>31.047831845830974</v>
      </c>
      <c r="V181"/>
      <c r="W181"/>
      <c r="X181"/>
      <c r="Y181"/>
      <c r="Z181"/>
      <c r="AA181" s="35"/>
      <c r="AB181" s="35"/>
    </row>
    <row r="182" spans="1:28" s="42" customFormat="1">
      <c r="A182" s="110">
        <v>1911</v>
      </c>
      <c r="B182" s="111">
        <v>11.76</v>
      </c>
      <c r="C182" s="109">
        <v>0.24509999999999998</v>
      </c>
      <c r="D182" s="112">
        <v>0.44871794871794868</v>
      </c>
      <c r="E182" s="161">
        <v>0.28999999999999998</v>
      </c>
      <c r="F182" s="113">
        <f t="shared" si="29"/>
        <v>33.399230322769228</v>
      </c>
      <c r="G182" s="114"/>
      <c r="H182" s="110">
        <v>8.48</v>
      </c>
      <c r="I182" s="111">
        <v>0.41986944444444446</v>
      </c>
      <c r="J182" s="110">
        <v>4.96</v>
      </c>
      <c r="K182" s="154">
        <f t="shared" si="30"/>
        <v>4.6965080746166672</v>
      </c>
      <c r="L182" s="114"/>
      <c r="M182" s="110"/>
      <c r="N182" s="115">
        <v>16.5</v>
      </c>
      <c r="O182" s="150">
        <f t="shared" si="39"/>
        <v>4.2525780000000006</v>
      </c>
      <c r="P182" s="116"/>
      <c r="Q182" s="115">
        <f t="shared" si="40"/>
        <v>2.1174158198692949</v>
      </c>
      <c r="R182" s="115">
        <f t="shared" si="41"/>
        <v>44.465732217255187</v>
      </c>
      <c r="S182" s="110"/>
      <c r="T182" s="110"/>
      <c r="U182" s="109">
        <f t="shared" si="42"/>
        <v>33.432881366357279</v>
      </c>
      <c r="V182"/>
      <c r="W182"/>
      <c r="X182"/>
      <c r="Y182"/>
      <c r="Z182"/>
      <c r="AA182" s="35"/>
      <c r="AB182" s="35"/>
    </row>
    <row r="183" spans="1:28" s="42" customFormat="1">
      <c r="A183" s="110">
        <v>1912</v>
      </c>
      <c r="B183" s="111">
        <v>11.76</v>
      </c>
      <c r="C183" s="109">
        <v>0.23650000000000002</v>
      </c>
      <c r="D183" s="112">
        <v>0.4589743589743589</v>
      </c>
      <c r="E183" s="161">
        <v>0.28999999999999998</v>
      </c>
      <c r="F183" s="113">
        <f t="shared" si="29"/>
        <v>33.419430444615386</v>
      </c>
      <c r="G183" s="114"/>
      <c r="H183" s="110">
        <v>8.48</v>
      </c>
      <c r="I183" s="111">
        <v>0.41986944444444446</v>
      </c>
      <c r="J183" s="110">
        <v>6.56</v>
      </c>
      <c r="K183" s="154">
        <f t="shared" si="30"/>
        <v>4.8234920746166665</v>
      </c>
      <c r="L183" s="114"/>
      <c r="M183" s="110"/>
      <c r="N183" s="115">
        <v>20</v>
      </c>
      <c r="O183" s="150">
        <f t="shared" si="39"/>
        <v>5.1546400000000006</v>
      </c>
      <c r="P183" s="116"/>
      <c r="Q183" s="115">
        <f t="shared" si="40"/>
        <v>2.1698781259616027</v>
      </c>
      <c r="R183" s="115">
        <f t="shared" si="41"/>
        <v>45.567440645193656</v>
      </c>
      <c r="S183" s="110"/>
      <c r="T183" s="110"/>
      <c r="U183" s="109">
        <f t="shared" si="42"/>
        <v>34.261233567814777</v>
      </c>
      <c r="V183"/>
      <c r="W183"/>
      <c r="X183"/>
      <c r="Y183"/>
      <c r="Z183"/>
      <c r="AA183" s="35"/>
      <c r="AB183" s="35"/>
    </row>
    <row r="184" spans="1:28" s="42" customFormat="1">
      <c r="A184" s="110">
        <v>1913</v>
      </c>
      <c r="B184" s="111">
        <v>11.76</v>
      </c>
      <c r="C184" s="109">
        <v>0.24080000000000001</v>
      </c>
      <c r="D184" s="112">
        <v>0.45128205128205134</v>
      </c>
      <c r="E184" s="161">
        <v>0.28999999999999998</v>
      </c>
      <c r="F184" s="113">
        <f t="shared" si="29"/>
        <v>33.37806084523077</v>
      </c>
      <c r="G184" s="114"/>
      <c r="H184" s="110">
        <v>8.48</v>
      </c>
      <c r="I184" s="111">
        <v>0.41986944444444446</v>
      </c>
      <c r="J184" s="110">
        <v>6.88</v>
      </c>
      <c r="K184" s="154">
        <f t="shared" si="30"/>
        <v>4.8488888746166667</v>
      </c>
      <c r="L184" s="114"/>
      <c r="M184" s="110"/>
      <c r="N184" s="115">
        <v>19.5</v>
      </c>
      <c r="O184" s="150">
        <f t="shared" si="39"/>
        <v>5.0257740000000002</v>
      </c>
      <c r="P184" s="116"/>
      <c r="Q184" s="115">
        <f t="shared" si="40"/>
        <v>2.1626361859923722</v>
      </c>
      <c r="R184" s="115">
        <f t="shared" si="41"/>
        <v>45.415359905839807</v>
      </c>
      <c r="S184" s="110"/>
      <c r="T184" s="110"/>
      <c r="U184" s="109">
        <f t="shared" si="42"/>
        <v>34.146887147247973</v>
      </c>
      <c r="V184"/>
      <c r="W184"/>
      <c r="X184"/>
      <c r="Y184"/>
      <c r="Z184"/>
      <c r="AA184" s="35"/>
      <c r="AB184" s="35"/>
    </row>
    <row r="185" spans="1:28" s="42" customFormat="1">
      <c r="A185" s="110">
        <v>1914</v>
      </c>
      <c r="B185" s="111">
        <v>11.76</v>
      </c>
      <c r="C185" s="109">
        <v>0.24509999999999998</v>
      </c>
      <c r="D185" s="112">
        <v>0.52307692307692311</v>
      </c>
      <c r="E185" s="161">
        <v>1.7704517999999999E-2</v>
      </c>
      <c r="F185" s="113">
        <f t="shared" si="29"/>
        <v>34.18968146392114</v>
      </c>
      <c r="G185" s="114"/>
      <c r="H185" s="110">
        <v>8.48</v>
      </c>
      <c r="I185" s="111">
        <v>0.47845555555555558</v>
      </c>
      <c r="J185" s="110">
        <v>6.88</v>
      </c>
      <c r="K185" s="154">
        <f t="shared" si="30"/>
        <v>5.261467149933333</v>
      </c>
      <c r="L185" s="114"/>
      <c r="M185" s="110"/>
      <c r="N185" s="115">
        <v>15.75</v>
      </c>
      <c r="O185" s="150">
        <f t="shared" si="39"/>
        <v>4.0592790000000001</v>
      </c>
      <c r="P185" s="116"/>
      <c r="Q185" s="115">
        <f t="shared" si="40"/>
        <v>2.1755213806927238</v>
      </c>
      <c r="R185" s="115">
        <f t="shared" si="41"/>
        <v>45.685948994547196</v>
      </c>
      <c r="S185" s="110"/>
      <c r="T185" s="110"/>
      <c r="U185" s="109">
        <f t="shared" si="42"/>
        <v>34.350337589885108</v>
      </c>
      <c r="V185"/>
      <c r="W185"/>
      <c r="X185"/>
      <c r="Y185"/>
      <c r="Z185"/>
      <c r="AA185" s="35"/>
      <c r="AB185" s="35"/>
    </row>
    <row r="186" spans="1:28" s="42" customFormat="1">
      <c r="A186" s="110">
        <v>1915</v>
      </c>
      <c r="B186" s="111">
        <v>17.64</v>
      </c>
      <c r="C186" s="109">
        <v>0.30099999999999999</v>
      </c>
      <c r="D186" s="112">
        <v>0.71794871794871795</v>
      </c>
      <c r="E186" s="163"/>
      <c r="F186" s="113"/>
      <c r="G186" s="114"/>
      <c r="H186" s="110">
        <v>8.48</v>
      </c>
      <c r="I186" s="111">
        <v>0.58586388888888885</v>
      </c>
      <c r="J186" s="110">
        <v>9.76</v>
      </c>
      <c r="K186" s="154">
        <f t="shared" si="30"/>
        <v>6.246435114983333</v>
      </c>
      <c r="L186" s="114"/>
      <c r="M186" s="110"/>
      <c r="N186" s="115">
        <v>27</v>
      </c>
      <c r="O186" s="150">
        <f t="shared" si="39"/>
        <v>6.9587640000000004</v>
      </c>
      <c r="P186" s="116"/>
      <c r="Q186" s="117"/>
      <c r="R186" s="110"/>
      <c r="S186" s="110"/>
      <c r="T186" s="110"/>
      <c r="U186" s="109"/>
      <c r="V186"/>
      <c r="W186"/>
      <c r="X186"/>
      <c r="Y186"/>
      <c r="Z186"/>
      <c r="AA186" s="35"/>
      <c r="AB186" s="35"/>
    </row>
    <row r="187" spans="1:28" s="42" customFormat="1">
      <c r="A187" s="110">
        <v>1916</v>
      </c>
      <c r="B187" s="111">
        <v>22.05</v>
      </c>
      <c r="C187" s="109">
        <v>0.4214</v>
      </c>
      <c r="D187" s="112">
        <v>1.0512820512820513</v>
      </c>
      <c r="E187" s="163"/>
      <c r="F187" s="113"/>
      <c r="G187" s="114"/>
      <c r="H187" s="110">
        <v>8.48</v>
      </c>
      <c r="I187" s="111">
        <v>1.4158388888888889</v>
      </c>
      <c r="J187" s="110">
        <v>15.84</v>
      </c>
      <c r="K187" s="154">
        <f t="shared" si="30"/>
        <v>12.573869078633333</v>
      </c>
      <c r="L187" s="114"/>
      <c r="M187" s="110"/>
      <c r="N187" s="115"/>
      <c r="O187" s="109"/>
      <c r="P187" s="116"/>
      <c r="Q187" s="117"/>
      <c r="R187" s="110"/>
      <c r="S187" s="110"/>
      <c r="T187" s="110"/>
      <c r="U187" s="109"/>
      <c r="V187"/>
      <c r="W187"/>
      <c r="X187"/>
      <c r="Y187"/>
      <c r="Z187"/>
      <c r="AA187" s="35"/>
      <c r="AB187" s="35"/>
    </row>
    <row r="188" spans="1:28" s="42" customFormat="1">
      <c r="A188" s="110">
        <v>1917</v>
      </c>
      <c r="B188" s="111"/>
      <c r="C188" s="109"/>
      <c r="D188" s="112"/>
      <c r="E188" s="110"/>
      <c r="F188" s="113"/>
      <c r="G188" s="114"/>
      <c r="H188" s="110">
        <v>53.76</v>
      </c>
      <c r="I188" s="111">
        <v>1.8552375000000001</v>
      </c>
      <c r="J188" s="110">
        <v>23.52</v>
      </c>
      <c r="K188" s="154">
        <f t="shared" si="30"/>
        <v>23.465043305325</v>
      </c>
      <c r="L188" s="114"/>
      <c r="M188" s="110"/>
      <c r="N188" s="115"/>
      <c r="O188" s="109"/>
      <c r="P188" s="116"/>
      <c r="Q188" s="117"/>
      <c r="R188" s="110"/>
      <c r="S188" s="110"/>
      <c r="T188" s="110"/>
      <c r="U188" s="109"/>
      <c r="V188"/>
      <c r="W188"/>
      <c r="X188"/>
      <c r="Y188"/>
      <c r="Z188"/>
      <c r="AA188" s="35"/>
      <c r="AB188" s="35"/>
    </row>
    <row r="189" spans="1:28" s="42" customFormat="1">
      <c r="A189" s="110">
        <v>1918</v>
      </c>
      <c r="B189" s="111"/>
      <c r="C189" s="109"/>
      <c r="D189" s="112"/>
      <c r="E189" s="110"/>
      <c r="F189" s="113"/>
      <c r="G189" s="114"/>
      <c r="H189" s="110"/>
      <c r="I189" s="110"/>
      <c r="J189" s="110"/>
      <c r="K189" s="118"/>
      <c r="L189" s="114"/>
      <c r="M189" s="110"/>
      <c r="N189" s="115"/>
      <c r="O189" s="109"/>
      <c r="P189" s="116"/>
      <c r="Q189" s="117"/>
      <c r="R189" s="110"/>
      <c r="S189" s="110"/>
      <c r="T189" s="110"/>
      <c r="U189" s="109"/>
      <c r="V189"/>
      <c r="W189"/>
      <c r="X189"/>
      <c r="Y189"/>
      <c r="Z189"/>
      <c r="AA189" s="35"/>
      <c r="AB189" s="35"/>
    </row>
    <row r="190" spans="1:28" s="42" customFormat="1">
      <c r="A190" s="110">
        <v>1919</v>
      </c>
      <c r="B190" s="111"/>
      <c r="C190" s="109"/>
      <c r="D190" s="112"/>
      <c r="E190" s="110"/>
      <c r="F190" s="113"/>
      <c r="G190" s="114"/>
      <c r="H190" s="110"/>
      <c r="I190" s="110"/>
      <c r="J190" s="110"/>
      <c r="K190" s="118"/>
      <c r="L190" s="114"/>
      <c r="M190" s="110"/>
      <c r="N190" s="115"/>
      <c r="O190" s="109"/>
      <c r="P190" s="116"/>
      <c r="Q190" s="117"/>
      <c r="R190" s="110"/>
      <c r="S190" s="110"/>
      <c r="T190" s="110"/>
      <c r="U190" s="109"/>
      <c r="V190"/>
      <c r="W190"/>
      <c r="X190"/>
      <c r="Y190"/>
      <c r="Z190"/>
      <c r="AA190" s="35"/>
      <c r="AB190" s="35"/>
    </row>
    <row r="191" spans="1:28" s="42" customFormat="1">
      <c r="A191" s="133"/>
      <c r="B191" s="134"/>
      <c r="C191" s="135"/>
      <c r="D191" s="136"/>
      <c r="E191" s="133"/>
      <c r="F191" s="137"/>
      <c r="G191" s="138"/>
      <c r="H191" s="133"/>
      <c r="I191" s="133"/>
      <c r="J191" s="133"/>
      <c r="K191" s="139"/>
      <c r="L191" s="138"/>
      <c r="M191" s="133"/>
      <c r="N191" s="140"/>
      <c r="O191" s="135"/>
      <c r="P191" s="141"/>
      <c r="Q191" s="142"/>
      <c r="R191" s="133"/>
      <c r="S191"/>
      <c r="T191"/>
      <c r="U191" s="1"/>
      <c r="V191"/>
      <c r="W191"/>
      <c r="X191"/>
      <c r="Y191"/>
      <c r="Z191"/>
      <c r="AA191" s="35"/>
      <c r="AB191" s="35"/>
    </row>
    <row r="192" spans="1:28" s="42" customFormat="1">
      <c r="A192" s="2"/>
      <c r="C192" s="36"/>
      <c r="D192" s="62"/>
      <c r="E192" s="2"/>
      <c r="F192" s="95"/>
      <c r="G192" s="13"/>
      <c r="H192" s="2"/>
      <c r="I192" s="2"/>
      <c r="J192" s="2"/>
      <c r="K192" s="12"/>
      <c r="L192" s="13"/>
      <c r="M192" s="2"/>
      <c r="N192" s="43"/>
      <c r="O192" s="36"/>
      <c r="P192" s="9"/>
      <c r="Q192" s="5"/>
      <c r="R192" s="2"/>
      <c r="S192"/>
      <c r="T192"/>
      <c r="U192" s="1"/>
      <c r="V192"/>
      <c r="W192"/>
      <c r="X192"/>
      <c r="Y192"/>
      <c r="Z192"/>
      <c r="AA192" s="35"/>
      <c r="AB192" s="35"/>
    </row>
    <row r="193" spans="1:28" s="42" customFormat="1">
      <c r="A193" s="2" t="s">
        <v>589</v>
      </c>
      <c r="C193" s="36"/>
      <c r="D193" s="62"/>
      <c r="E193" s="2"/>
      <c r="F193" s="95"/>
      <c r="G193" s="13"/>
      <c r="H193" s="2"/>
      <c r="I193" s="2"/>
      <c r="J193" s="2"/>
      <c r="K193" s="12"/>
      <c r="L193" s="13"/>
      <c r="M193" s="2"/>
      <c r="N193" s="43"/>
      <c r="O193" s="36"/>
      <c r="P193" s="9"/>
      <c r="Q193" s="5"/>
      <c r="R193" s="2"/>
      <c r="S193"/>
      <c r="T193"/>
      <c r="U193" s="1"/>
      <c r="V193"/>
      <c r="W193"/>
      <c r="X193"/>
      <c r="Y193"/>
      <c r="Z193"/>
      <c r="AA193" s="35"/>
      <c r="AB193" s="35"/>
    </row>
    <row r="194" spans="1:28" s="42" customFormat="1">
      <c r="A194" s="2"/>
      <c r="C194" s="36"/>
      <c r="D194" s="62"/>
      <c r="E194" s="2"/>
      <c r="F194" s="95"/>
      <c r="G194" s="13"/>
      <c r="H194" s="2"/>
      <c r="I194" s="2"/>
      <c r="J194" s="2"/>
      <c r="K194" s="12"/>
      <c r="L194" s="13"/>
      <c r="M194" s="2"/>
      <c r="N194" s="43"/>
      <c r="O194" s="36"/>
      <c r="P194" s="9"/>
      <c r="Q194" s="5"/>
      <c r="R194" s="2"/>
      <c r="S194"/>
      <c r="T194"/>
      <c r="U194" s="1"/>
      <c r="V194"/>
      <c r="W194"/>
      <c r="X194"/>
      <c r="Y194"/>
      <c r="Z194"/>
      <c r="AA194" s="35"/>
      <c r="AB194" s="35"/>
    </row>
    <row r="195" spans="1:28" s="42" customFormat="1">
      <c r="A195" s="2"/>
      <c r="C195" s="36"/>
      <c r="D195" s="62"/>
      <c r="E195" s="2"/>
      <c r="F195" s="95"/>
      <c r="G195" s="13"/>
      <c r="H195" s="2"/>
      <c r="I195" s="2"/>
      <c r="J195" s="2"/>
      <c r="K195" s="12"/>
      <c r="L195" s="13"/>
      <c r="M195" s="2"/>
      <c r="N195" s="43"/>
      <c r="O195" s="36"/>
      <c r="P195" s="9"/>
      <c r="Q195" s="5"/>
      <c r="R195" s="2"/>
      <c r="S195"/>
      <c r="T195"/>
      <c r="U195" s="1"/>
      <c r="V195"/>
      <c r="W195"/>
      <c r="X195"/>
      <c r="Y195"/>
      <c r="Z195"/>
      <c r="AA195" s="35"/>
      <c r="AB195" s="35"/>
    </row>
    <row r="196" spans="1:28" s="42" customFormat="1">
      <c r="A196" s="2"/>
      <c r="C196" s="36"/>
      <c r="D196" s="62"/>
      <c r="E196" s="2"/>
      <c r="F196" s="95"/>
      <c r="G196" s="13"/>
      <c r="H196" s="2"/>
      <c r="I196" s="2"/>
      <c r="J196" s="2"/>
      <c r="K196" s="12"/>
      <c r="L196" s="13"/>
      <c r="M196" s="2"/>
      <c r="N196" s="43"/>
      <c r="O196" s="36"/>
      <c r="P196" s="9"/>
      <c r="Q196" s="5"/>
      <c r="R196" s="2"/>
      <c r="S196"/>
      <c r="T196"/>
      <c r="U196" s="1"/>
      <c r="V196"/>
      <c r="W196"/>
      <c r="X196"/>
      <c r="Y196"/>
      <c r="Z196"/>
      <c r="AA196" s="35"/>
      <c r="AB196" s="35"/>
    </row>
    <row r="197" spans="1:28" s="42" customFormat="1">
      <c r="A197" s="2"/>
      <c r="C197" s="36"/>
      <c r="D197" s="62"/>
      <c r="E197" s="2"/>
      <c r="F197" s="95"/>
      <c r="G197" s="13"/>
      <c r="H197" s="2"/>
      <c r="I197" s="2"/>
      <c r="J197" s="2"/>
      <c r="K197" s="12"/>
      <c r="L197" s="13"/>
      <c r="M197" s="2"/>
      <c r="N197" s="43"/>
      <c r="O197" s="36"/>
      <c r="P197" s="9"/>
      <c r="Q197" s="5"/>
      <c r="R197" s="2"/>
      <c r="S197"/>
      <c r="T197"/>
      <c r="U197" s="1"/>
      <c r="V197"/>
      <c r="W197"/>
      <c r="X197"/>
      <c r="Y197"/>
      <c r="Z197"/>
      <c r="AA197" s="35"/>
      <c r="AB197" s="35"/>
    </row>
    <row r="198" spans="1:28" s="42" customFormat="1">
      <c r="A198" s="2"/>
      <c r="C198" s="36"/>
      <c r="D198" s="62"/>
      <c r="E198" s="2"/>
      <c r="F198" s="95"/>
      <c r="G198" s="13"/>
      <c r="H198" s="2"/>
      <c r="I198" s="2"/>
      <c r="J198" s="2"/>
      <c r="K198" s="12"/>
      <c r="L198" s="13"/>
      <c r="M198" s="2"/>
      <c r="N198" s="43"/>
      <c r="O198" s="36"/>
      <c r="P198" s="9"/>
      <c r="Q198" s="5"/>
      <c r="R198" s="2"/>
      <c r="S198"/>
      <c r="T198"/>
      <c r="U198" s="1"/>
      <c r="V198"/>
      <c r="W198"/>
      <c r="X198"/>
      <c r="Y198"/>
      <c r="Z198"/>
      <c r="AA198" s="35"/>
      <c r="AB198" s="35"/>
    </row>
    <row r="199" spans="1:28" s="42" customFormat="1">
      <c r="A199" s="2"/>
      <c r="C199" s="36"/>
      <c r="D199" s="62"/>
      <c r="E199" s="2"/>
      <c r="F199" s="95"/>
      <c r="G199" s="13"/>
      <c r="H199" s="2"/>
      <c r="I199" s="2"/>
      <c r="J199" s="2"/>
      <c r="K199" s="12"/>
      <c r="L199" s="13"/>
      <c r="M199" s="2"/>
      <c r="N199" s="43"/>
      <c r="O199" s="36"/>
      <c r="P199" s="9"/>
      <c r="Q199" s="5"/>
      <c r="R199" s="2"/>
      <c r="S199"/>
      <c r="T199"/>
      <c r="U199" s="1"/>
      <c r="V199"/>
      <c r="W199"/>
      <c r="X199"/>
      <c r="Y199"/>
      <c r="Z199"/>
      <c r="AA199" s="35"/>
      <c r="AB199" s="35"/>
    </row>
    <row r="200" spans="1:28" s="42" customFormat="1">
      <c r="A200" s="2"/>
      <c r="C200" s="36"/>
      <c r="D200" s="62"/>
      <c r="E200" s="2"/>
      <c r="F200" s="95"/>
      <c r="G200" s="13"/>
      <c r="H200" s="2"/>
      <c r="I200" s="2"/>
      <c r="J200" s="2"/>
      <c r="K200" s="12"/>
      <c r="L200" s="13"/>
      <c r="M200" s="2"/>
      <c r="N200" s="43"/>
      <c r="O200" s="36"/>
      <c r="P200" s="9"/>
      <c r="Q200" s="5"/>
      <c r="R200" s="2"/>
      <c r="S200"/>
      <c r="T200"/>
      <c r="U200" s="1"/>
      <c r="V200"/>
      <c r="W200"/>
      <c r="X200"/>
      <c r="Y200"/>
      <c r="Z200"/>
      <c r="AA200" s="35"/>
      <c r="AB200" s="35"/>
    </row>
    <row r="201" spans="1:28" s="42" customFormat="1">
      <c r="A201" s="2"/>
      <c r="C201" s="36"/>
      <c r="D201" s="62"/>
      <c r="E201" s="2"/>
      <c r="F201" s="95"/>
      <c r="G201" s="13"/>
      <c r="H201" s="2"/>
      <c r="I201" s="2"/>
      <c r="J201" s="2"/>
      <c r="K201" s="12"/>
      <c r="L201" s="13"/>
      <c r="M201" s="2"/>
      <c r="N201" s="43"/>
      <c r="O201" s="36"/>
      <c r="P201" s="9"/>
      <c r="Q201" s="5"/>
      <c r="R201" s="2"/>
      <c r="S201"/>
      <c r="T201"/>
      <c r="U201" s="1"/>
      <c r="V201"/>
      <c r="W201"/>
      <c r="X201"/>
      <c r="Y201"/>
      <c r="Z201"/>
      <c r="AA201" s="35"/>
      <c r="AB201" s="35"/>
    </row>
    <row r="202" spans="1:28" s="42" customFormat="1">
      <c r="A202" s="2"/>
      <c r="C202" s="36"/>
      <c r="D202" s="62"/>
      <c r="E202" s="2"/>
      <c r="F202" s="95"/>
      <c r="G202" s="13"/>
      <c r="H202" s="2"/>
      <c r="I202" s="2"/>
      <c r="J202" s="2"/>
      <c r="K202" s="12"/>
      <c r="L202" s="13"/>
      <c r="M202" s="2"/>
      <c r="N202" s="43"/>
      <c r="O202" s="36"/>
      <c r="P202" s="9"/>
      <c r="Q202" s="5"/>
      <c r="R202" s="2"/>
      <c r="S202"/>
      <c r="T202"/>
      <c r="U202" s="1"/>
      <c r="V202"/>
      <c r="W202"/>
      <c r="X202"/>
      <c r="Y202"/>
      <c r="Z202"/>
      <c r="AA202" s="35"/>
      <c r="AB202" s="35"/>
    </row>
    <row r="203" spans="1:28" s="42" customFormat="1">
      <c r="A203" s="2"/>
      <c r="C203" s="36"/>
      <c r="D203" s="62"/>
      <c r="E203" s="2"/>
      <c r="F203" s="95"/>
      <c r="G203" s="13"/>
      <c r="H203" s="2"/>
      <c r="I203" s="2"/>
      <c r="J203" s="2"/>
      <c r="K203" s="12"/>
      <c r="L203" s="13"/>
      <c r="M203" s="2"/>
      <c r="N203" s="43"/>
      <c r="O203" s="36"/>
      <c r="P203" s="9"/>
      <c r="Q203" s="5"/>
      <c r="R203" s="2"/>
      <c r="S203"/>
      <c r="T203"/>
      <c r="U203" s="1"/>
      <c r="V203"/>
      <c r="W203"/>
      <c r="X203"/>
      <c r="Y203"/>
      <c r="Z203"/>
      <c r="AA203" s="35"/>
      <c r="AB203" s="35"/>
    </row>
    <row r="204" spans="1:28" s="42" customFormat="1">
      <c r="A204" s="2"/>
      <c r="C204" s="36"/>
      <c r="D204" s="62"/>
      <c r="E204" s="2"/>
      <c r="F204" s="95"/>
      <c r="G204" s="13"/>
      <c r="H204" s="2"/>
      <c r="I204" s="2"/>
      <c r="J204" s="2"/>
      <c r="K204" s="12"/>
      <c r="L204" s="13"/>
      <c r="M204" s="2"/>
      <c r="N204" s="43"/>
      <c r="O204" s="36"/>
      <c r="P204" s="9"/>
      <c r="Q204" s="5"/>
      <c r="R204" s="2"/>
      <c r="S204"/>
      <c r="T204"/>
      <c r="U204" s="1"/>
      <c r="V204"/>
      <c r="W204"/>
      <c r="X204"/>
      <c r="Y204"/>
      <c r="Z204"/>
      <c r="AA204" s="35"/>
      <c r="AB204" s="35"/>
    </row>
    <row r="205" spans="1:28" s="42" customFormat="1">
      <c r="A205" s="2"/>
      <c r="C205" s="36"/>
      <c r="D205" s="62"/>
      <c r="E205" s="2"/>
      <c r="F205" s="95"/>
      <c r="G205" s="13"/>
      <c r="H205" s="2"/>
      <c r="I205" s="2"/>
      <c r="J205" s="2"/>
      <c r="K205" s="12"/>
      <c r="L205" s="13"/>
      <c r="M205" s="2"/>
      <c r="N205" s="43"/>
      <c r="O205" s="36"/>
      <c r="P205" s="9"/>
      <c r="Q205" s="5"/>
      <c r="R205" s="2"/>
      <c r="S205"/>
      <c r="T205"/>
      <c r="U205" s="1"/>
      <c r="V205"/>
      <c r="W205"/>
      <c r="X205"/>
      <c r="Y205"/>
      <c r="Z205"/>
      <c r="AA205" s="35"/>
      <c r="AB205" s="35"/>
    </row>
    <row r="206" spans="1:28" s="42" customFormat="1">
      <c r="A206" s="2"/>
      <c r="C206" s="36"/>
      <c r="D206" s="62"/>
      <c r="E206" s="2"/>
      <c r="F206" s="95"/>
      <c r="G206" s="13"/>
      <c r="H206" s="2"/>
      <c r="I206" s="2"/>
      <c r="J206" s="2"/>
      <c r="K206" s="12"/>
      <c r="L206" s="13"/>
      <c r="M206" s="2"/>
      <c r="N206" s="43"/>
      <c r="O206" s="36"/>
      <c r="P206" s="9"/>
      <c r="Q206" s="5"/>
      <c r="R206" s="2"/>
      <c r="S206"/>
      <c r="T206"/>
      <c r="U206" s="1"/>
      <c r="V206"/>
      <c r="W206"/>
      <c r="X206"/>
      <c r="Y206"/>
      <c r="Z206"/>
      <c r="AA206" s="35"/>
      <c r="AB206" s="35"/>
    </row>
    <row r="207" spans="1:28" s="42" customFormat="1">
      <c r="A207" s="2"/>
      <c r="C207" s="36"/>
      <c r="D207" s="62"/>
      <c r="E207" s="2"/>
      <c r="F207" s="95"/>
      <c r="G207" s="13"/>
      <c r="H207" s="2"/>
      <c r="I207" s="2"/>
      <c r="J207" s="2"/>
      <c r="K207" s="12"/>
      <c r="L207" s="13"/>
      <c r="M207" s="2"/>
      <c r="N207" s="43"/>
      <c r="O207" s="36"/>
      <c r="P207" s="9"/>
      <c r="Q207" s="5"/>
      <c r="R207" s="2"/>
      <c r="S207"/>
      <c r="T207"/>
      <c r="U207" s="1"/>
      <c r="V207"/>
      <c r="W207"/>
      <c r="X207"/>
      <c r="Y207"/>
      <c r="Z207"/>
      <c r="AA207" s="35"/>
      <c r="AB207" s="35"/>
    </row>
    <row r="208" spans="1:28" s="42" customFormat="1">
      <c r="A208" s="2"/>
      <c r="C208" s="36"/>
      <c r="D208" s="62"/>
      <c r="E208" s="2"/>
      <c r="F208" s="95"/>
      <c r="G208" s="13"/>
      <c r="H208" s="2"/>
      <c r="I208" s="2"/>
      <c r="J208" s="2"/>
      <c r="K208" s="12"/>
      <c r="L208" s="13"/>
      <c r="M208" s="2"/>
      <c r="N208" s="43"/>
      <c r="O208" s="36"/>
      <c r="P208" s="9"/>
      <c r="Q208" s="5"/>
      <c r="R208" s="2"/>
      <c r="S208"/>
      <c r="T208"/>
      <c r="U208" s="1"/>
      <c r="V208"/>
      <c r="W208"/>
      <c r="X208"/>
      <c r="Y208"/>
      <c r="Z208"/>
      <c r="AA208" s="35"/>
      <c r="AB208" s="35"/>
    </row>
    <row r="209" spans="1:28" s="42" customFormat="1">
      <c r="A209" s="2"/>
      <c r="C209" s="36"/>
      <c r="D209" s="62"/>
      <c r="E209" s="2"/>
      <c r="F209" s="95"/>
      <c r="G209" s="13"/>
      <c r="H209" s="2"/>
      <c r="I209" s="2"/>
      <c r="J209" s="2"/>
      <c r="K209" s="12"/>
      <c r="L209" s="13"/>
      <c r="M209" s="2"/>
      <c r="N209" s="43"/>
      <c r="O209" s="36"/>
      <c r="P209" s="9"/>
      <c r="Q209" s="5"/>
      <c r="R209" s="2"/>
      <c r="S209"/>
      <c r="T209"/>
      <c r="U209" s="1"/>
      <c r="V209"/>
      <c r="W209"/>
      <c r="X209"/>
      <c r="Y209"/>
      <c r="Z209"/>
      <c r="AA209" s="35"/>
      <c r="AB209" s="35"/>
    </row>
    <row r="210" spans="1:28" s="42" customFormat="1">
      <c r="A210" s="2"/>
      <c r="C210" s="36"/>
      <c r="D210" s="62"/>
      <c r="E210" s="2"/>
      <c r="F210" s="95"/>
      <c r="G210" s="13"/>
      <c r="H210" s="2"/>
      <c r="I210" s="2"/>
      <c r="J210" s="2"/>
      <c r="K210" s="12"/>
      <c r="L210" s="13"/>
      <c r="M210" s="2"/>
      <c r="N210" s="43"/>
      <c r="O210" s="36"/>
      <c r="P210" s="9"/>
      <c r="Q210" s="5"/>
      <c r="R210" s="2"/>
      <c r="S210"/>
      <c r="T210"/>
      <c r="U210" s="1"/>
      <c r="V210"/>
      <c r="W210"/>
      <c r="X210"/>
      <c r="Y210"/>
      <c r="Z210"/>
      <c r="AA210" s="35"/>
      <c r="AB210" s="35"/>
    </row>
    <row r="211" spans="1:28" s="42" customFormat="1">
      <c r="A211" s="2"/>
      <c r="C211" s="36"/>
      <c r="D211" s="62"/>
      <c r="E211" s="2"/>
      <c r="F211" s="95"/>
      <c r="G211" s="13"/>
      <c r="H211" s="2"/>
      <c r="I211" s="2"/>
      <c r="J211" s="2"/>
      <c r="K211" s="12"/>
      <c r="L211" s="13"/>
      <c r="M211" s="2"/>
      <c r="N211" s="43"/>
      <c r="O211" s="36"/>
      <c r="P211" s="9"/>
      <c r="Q211" s="5"/>
      <c r="R211" s="2"/>
      <c r="S211"/>
      <c r="T211"/>
      <c r="U211" s="1"/>
      <c r="V211"/>
      <c r="W211"/>
      <c r="X211"/>
      <c r="Y211"/>
      <c r="Z211"/>
      <c r="AA211" s="35"/>
      <c r="AB211" s="35"/>
    </row>
    <row r="212" spans="1:28" s="42" customFormat="1">
      <c r="A212" s="2"/>
      <c r="C212" s="36"/>
      <c r="D212" s="62"/>
      <c r="E212" s="2"/>
      <c r="F212" s="95"/>
      <c r="G212" s="13"/>
      <c r="H212" s="2"/>
      <c r="I212" s="2"/>
      <c r="J212" s="2"/>
      <c r="K212" s="12"/>
      <c r="L212" s="13"/>
      <c r="M212" s="2"/>
      <c r="N212" s="43"/>
      <c r="O212" s="36"/>
      <c r="P212" s="9"/>
      <c r="Q212" s="5"/>
      <c r="R212" s="2"/>
      <c r="S212"/>
      <c r="T212"/>
      <c r="U212" s="1"/>
      <c r="V212"/>
      <c r="W212"/>
      <c r="X212"/>
      <c r="Y212"/>
      <c r="Z212"/>
      <c r="AA212" s="35"/>
      <c r="AB212" s="35"/>
    </row>
    <row r="213" spans="1:28" s="42" customFormat="1">
      <c r="A213" s="2"/>
      <c r="C213" s="36"/>
      <c r="D213" s="62"/>
      <c r="E213" s="2"/>
      <c r="F213" s="95"/>
      <c r="G213" s="13"/>
      <c r="H213" s="2"/>
      <c r="I213" s="2"/>
      <c r="J213" s="2"/>
      <c r="K213" s="12"/>
      <c r="L213" s="13"/>
      <c r="M213" s="2"/>
      <c r="N213" s="43"/>
      <c r="O213" s="36"/>
      <c r="P213" s="9"/>
      <c r="Q213" s="5"/>
      <c r="R213" s="2"/>
      <c r="S213"/>
      <c r="T213"/>
      <c r="U213" s="1"/>
      <c r="V213"/>
      <c r="W213"/>
      <c r="X213"/>
      <c r="Y213"/>
      <c r="Z213"/>
      <c r="AA213" s="35"/>
      <c r="AB213" s="35"/>
    </row>
    <row r="214" spans="1:28" s="42" customFormat="1">
      <c r="A214" s="2"/>
      <c r="C214" s="36"/>
      <c r="D214" s="62"/>
      <c r="E214" s="2"/>
      <c r="F214" s="95"/>
      <c r="G214" s="13"/>
      <c r="H214" s="2"/>
      <c r="I214" s="2"/>
      <c r="J214" s="2"/>
      <c r="K214" s="12"/>
      <c r="L214" s="13"/>
      <c r="M214" s="2"/>
      <c r="N214" s="43"/>
      <c r="O214" s="36"/>
      <c r="P214" s="9"/>
      <c r="Q214" s="5"/>
      <c r="R214" s="2"/>
      <c r="S214"/>
      <c r="T214"/>
      <c r="U214" s="1"/>
      <c r="V214"/>
      <c r="W214"/>
      <c r="X214"/>
      <c r="Y214"/>
      <c r="Z214"/>
      <c r="AA214" s="35"/>
      <c r="AB214" s="35"/>
    </row>
    <row r="215" spans="1:28" s="42" customFormat="1">
      <c r="A215" s="2"/>
      <c r="C215" s="36"/>
      <c r="D215" s="62"/>
      <c r="E215" s="2"/>
      <c r="F215" s="95"/>
      <c r="G215" s="13"/>
      <c r="H215" s="2"/>
      <c r="I215" s="2"/>
      <c r="J215" s="2"/>
      <c r="K215" s="12"/>
      <c r="L215" s="13"/>
      <c r="M215" s="2"/>
      <c r="N215" s="43"/>
      <c r="O215" s="36"/>
      <c r="P215" s="9"/>
      <c r="Q215" s="5"/>
      <c r="R215" s="2"/>
      <c r="S215"/>
      <c r="T215"/>
      <c r="U215" s="1"/>
      <c r="V215"/>
      <c r="W215"/>
      <c r="X215"/>
      <c r="Y215"/>
      <c r="Z215"/>
      <c r="AA215" s="35"/>
      <c r="AB215" s="35"/>
    </row>
    <row r="216" spans="1:28" s="42" customFormat="1">
      <c r="A216" s="2"/>
      <c r="C216" s="36"/>
      <c r="D216" s="62"/>
      <c r="E216" s="2"/>
      <c r="F216" s="95"/>
      <c r="G216" s="13"/>
      <c r="H216" s="2"/>
      <c r="I216" s="2"/>
      <c r="J216" s="2"/>
      <c r="K216" s="12"/>
      <c r="L216" s="13"/>
      <c r="M216" s="2"/>
      <c r="N216" s="43"/>
      <c r="O216" s="36"/>
      <c r="P216" s="9"/>
      <c r="Q216" s="5"/>
      <c r="R216" s="2"/>
      <c r="S216"/>
      <c r="T216"/>
      <c r="U216" s="1"/>
      <c r="V216"/>
      <c r="W216"/>
      <c r="X216"/>
      <c r="Y216"/>
      <c r="Z216"/>
      <c r="AA216" s="35"/>
      <c r="AB216" s="35"/>
    </row>
    <row r="217" spans="1:28" s="42" customFormat="1">
      <c r="A217" s="2"/>
      <c r="C217" s="36"/>
      <c r="D217" s="62"/>
      <c r="E217" s="2"/>
      <c r="F217" s="95"/>
      <c r="G217" s="13"/>
      <c r="H217" s="2"/>
      <c r="I217" s="2"/>
      <c r="J217" s="2"/>
      <c r="K217" s="12"/>
      <c r="L217" s="13"/>
      <c r="M217" s="2"/>
      <c r="N217" s="43"/>
      <c r="O217" s="36"/>
      <c r="P217" s="9"/>
      <c r="Q217" s="5"/>
      <c r="R217" s="2"/>
      <c r="S217"/>
      <c r="T217"/>
      <c r="U217" s="1"/>
      <c r="V217"/>
      <c r="W217"/>
      <c r="X217"/>
      <c r="Y217"/>
      <c r="Z217"/>
      <c r="AA217" s="35"/>
      <c r="AB217" s="35"/>
    </row>
    <row r="218" spans="1:28" s="42" customFormat="1">
      <c r="A218" s="2"/>
      <c r="C218" s="36"/>
      <c r="D218" s="62"/>
      <c r="E218" s="2"/>
      <c r="F218" s="95"/>
      <c r="G218" s="13"/>
      <c r="H218" s="2"/>
      <c r="I218" s="2"/>
      <c r="J218" s="2"/>
      <c r="K218" s="12"/>
      <c r="L218" s="13"/>
      <c r="M218" s="2"/>
      <c r="N218" s="43"/>
      <c r="O218" s="36"/>
      <c r="P218" s="9"/>
      <c r="Q218" s="5"/>
      <c r="R218" s="2"/>
      <c r="S218"/>
      <c r="T218"/>
      <c r="U218" s="1"/>
      <c r="V218"/>
      <c r="W218"/>
      <c r="X218"/>
      <c r="Y218"/>
      <c r="Z218"/>
      <c r="AA218" s="35"/>
      <c r="AB218" s="35"/>
    </row>
    <row r="219" spans="1:28" s="42" customFormat="1">
      <c r="A219" s="2"/>
      <c r="C219" s="36"/>
      <c r="D219" s="62"/>
      <c r="E219" s="2"/>
      <c r="F219" s="95"/>
      <c r="G219" s="13"/>
      <c r="H219" s="2"/>
      <c r="I219" s="2"/>
      <c r="J219" s="2"/>
      <c r="K219" s="12"/>
      <c r="L219" s="13"/>
      <c r="M219" s="2"/>
      <c r="N219" s="43"/>
      <c r="O219" s="36"/>
      <c r="P219" s="9"/>
      <c r="Q219" s="5"/>
      <c r="R219" s="2"/>
      <c r="S219"/>
      <c r="T219"/>
      <c r="U219" s="1"/>
      <c r="V219"/>
      <c r="W219"/>
      <c r="X219"/>
      <c r="Y219"/>
      <c r="Z219"/>
      <c r="AA219" s="35"/>
      <c r="AB219" s="35"/>
    </row>
    <row r="220" spans="1:28" s="42" customFormat="1">
      <c r="A220" s="2"/>
      <c r="C220" s="36"/>
      <c r="D220" s="62"/>
      <c r="E220" s="2"/>
      <c r="F220" s="95"/>
      <c r="G220" s="13"/>
      <c r="H220" s="2"/>
      <c r="I220" s="2"/>
      <c r="J220" s="2"/>
      <c r="K220" s="12"/>
      <c r="L220" s="13"/>
      <c r="M220" s="2"/>
      <c r="N220" s="43"/>
      <c r="O220" s="36"/>
      <c r="P220" s="9"/>
      <c r="Q220" s="5"/>
      <c r="R220" s="2"/>
      <c r="S220"/>
      <c r="T220"/>
      <c r="U220" s="1"/>
      <c r="V220"/>
      <c r="W220"/>
      <c r="X220"/>
      <c r="Y220"/>
      <c r="Z220"/>
      <c r="AA220" s="35"/>
      <c r="AB220" s="35"/>
    </row>
    <row r="221" spans="1:28" s="42" customFormat="1">
      <c r="A221" s="2"/>
      <c r="C221" s="36"/>
      <c r="D221" s="62"/>
      <c r="E221" s="2"/>
      <c r="F221" s="95"/>
      <c r="G221" s="13"/>
      <c r="H221" s="2"/>
      <c r="I221" s="2"/>
      <c r="J221" s="2"/>
      <c r="K221" s="12"/>
      <c r="L221" s="13"/>
      <c r="M221" s="2"/>
      <c r="N221" s="43"/>
      <c r="O221" s="36"/>
      <c r="P221" s="9"/>
      <c r="Q221" s="5"/>
      <c r="R221" s="2"/>
      <c r="S221"/>
      <c r="T221"/>
      <c r="U221" s="1"/>
      <c r="V221"/>
      <c r="W221"/>
      <c r="X221"/>
      <c r="Y221"/>
      <c r="Z221"/>
      <c r="AA221" s="35"/>
      <c r="AB221" s="35"/>
    </row>
    <row r="222" spans="1:28" s="42" customFormat="1">
      <c r="A222" s="2"/>
      <c r="C222" s="36"/>
      <c r="D222" s="62"/>
      <c r="E222" s="2"/>
      <c r="F222" s="95"/>
      <c r="G222" s="13"/>
      <c r="H222" s="2"/>
      <c r="I222" s="2"/>
      <c r="J222" s="2"/>
      <c r="K222" s="12"/>
      <c r="L222" s="13"/>
      <c r="M222" s="2"/>
      <c r="N222" s="43"/>
      <c r="O222" s="36"/>
      <c r="P222" s="9"/>
      <c r="Q222" s="5"/>
      <c r="R222" s="2"/>
      <c r="S222"/>
      <c r="T222"/>
      <c r="U222" s="1"/>
      <c r="V222"/>
      <c r="W222"/>
      <c r="X222"/>
      <c r="Y222"/>
      <c r="Z222"/>
      <c r="AA222" s="35"/>
      <c r="AB222" s="35"/>
    </row>
    <row r="223" spans="1:28" s="42" customFormat="1">
      <c r="A223" s="2"/>
      <c r="C223" s="36"/>
      <c r="D223" s="62"/>
      <c r="E223" s="2"/>
      <c r="F223" s="95"/>
      <c r="G223" s="13"/>
      <c r="H223" s="2"/>
      <c r="I223" s="2"/>
      <c r="J223" s="2"/>
      <c r="K223" s="12"/>
      <c r="L223" s="13"/>
      <c r="M223" s="2"/>
      <c r="N223" s="43"/>
      <c r="O223" s="36"/>
      <c r="P223" s="9"/>
      <c r="Q223" s="5"/>
      <c r="R223" s="2"/>
      <c r="S223"/>
      <c r="T223"/>
      <c r="U223" s="1"/>
      <c r="V223"/>
      <c r="W223"/>
      <c r="X223"/>
      <c r="Y223"/>
      <c r="Z223"/>
      <c r="AA223" s="35"/>
      <c r="AB223" s="35"/>
    </row>
    <row r="224" spans="1:28" s="42" customFormat="1">
      <c r="A224" s="2"/>
      <c r="C224" s="36"/>
      <c r="D224" s="62"/>
      <c r="E224" s="2"/>
      <c r="F224" s="95"/>
      <c r="G224" s="13"/>
      <c r="H224" s="2"/>
      <c r="I224" s="2"/>
      <c r="J224" s="2"/>
      <c r="K224" s="12"/>
      <c r="L224" s="13"/>
      <c r="M224" s="2"/>
      <c r="N224" s="43"/>
      <c r="O224" s="36"/>
      <c r="P224" s="9"/>
      <c r="Q224" s="5"/>
      <c r="R224" s="2"/>
      <c r="S224"/>
      <c r="T224"/>
      <c r="U224" s="1"/>
      <c r="V224"/>
      <c r="W224"/>
      <c r="X224"/>
      <c r="Y224"/>
      <c r="Z224"/>
      <c r="AA224" s="35"/>
      <c r="AB224" s="35"/>
    </row>
    <row r="225" spans="1:28" s="42" customFormat="1">
      <c r="A225" s="2"/>
      <c r="C225" s="36"/>
      <c r="D225" s="62"/>
      <c r="E225" s="2"/>
      <c r="F225" s="95"/>
      <c r="G225" s="13"/>
      <c r="H225" s="2"/>
      <c r="I225" s="2"/>
      <c r="J225" s="2"/>
      <c r="K225" s="12"/>
      <c r="L225" s="13"/>
      <c r="M225" s="2"/>
      <c r="N225" s="43"/>
      <c r="O225" s="36"/>
      <c r="P225" s="9"/>
      <c r="Q225" s="5"/>
      <c r="R225" s="2"/>
      <c r="S225"/>
      <c r="T225"/>
      <c r="U225" s="1"/>
      <c r="V225"/>
      <c r="W225"/>
      <c r="X225"/>
      <c r="Y225"/>
      <c r="Z225"/>
      <c r="AA225" s="35"/>
      <c r="AB225" s="35"/>
    </row>
    <row r="226" spans="1:28" s="42" customFormat="1">
      <c r="A226" s="2"/>
      <c r="C226" s="36"/>
      <c r="D226" s="62"/>
      <c r="E226" s="2"/>
      <c r="F226" s="95"/>
      <c r="G226" s="13"/>
      <c r="H226" s="2"/>
      <c r="I226" s="2"/>
      <c r="J226" s="2"/>
      <c r="K226" s="12"/>
      <c r="L226" s="13"/>
      <c r="M226" s="2"/>
      <c r="N226" s="43"/>
      <c r="O226" s="36"/>
      <c r="P226" s="9"/>
      <c r="Q226" s="5"/>
      <c r="R226" s="2"/>
      <c r="S226"/>
      <c r="T226"/>
      <c r="U226" s="1"/>
      <c r="V226"/>
      <c r="W226"/>
      <c r="X226"/>
      <c r="Y226"/>
      <c r="Z226"/>
      <c r="AA226" s="35"/>
      <c r="AB226" s="35"/>
    </row>
    <row r="227" spans="1:28" s="42" customFormat="1">
      <c r="A227" s="2"/>
      <c r="C227" s="36"/>
      <c r="D227" s="62"/>
      <c r="E227" s="2"/>
      <c r="F227" s="95"/>
      <c r="G227" s="13"/>
      <c r="H227" s="2"/>
      <c r="I227" s="2"/>
      <c r="J227" s="2"/>
      <c r="K227" s="12"/>
      <c r="L227" s="13"/>
      <c r="M227" s="2"/>
      <c r="N227" s="43"/>
      <c r="O227" s="36"/>
      <c r="P227" s="9"/>
      <c r="Q227" s="5"/>
      <c r="R227" s="2"/>
      <c r="S227"/>
      <c r="T227"/>
      <c r="U227" s="1"/>
      <c r="V227"/>
      <c r="W227"/>
      <c r="X227"/>
      <c r="Y227"/>
      <c r="Z227"/>
      <c r="AA227" s="35"/>
      <c r="AB227" s="35"/>
    </row>
    <row r="228" spans="1:28" s="42" customFormat="1">
      <c r="A228" s="2"/>
      <c r="C228" s="36"/>
      <c r="D228" s="62"/>
      <c r="E228" s="2"/>
      <c r="F228" s="95"/>
      <c r="G228" s="13"/>
      <c r="H228" s="2"/>
      <c r="I228" s="2"/>
      <c r="J228" s="2"/>
      <c r="K228" s="12"/>
      <c r="L228" s="13"/>
      <c r="M228" s="2"/>
      <c r="N228" s="43"/>
      <c r="O228" s="36"/>
      <c r="P228" s="9"/>
      <c r="Q228" s="5"/>
      <c r="R228" s="2"/>
      <c r="S228"/>
      <c r="T228"/>
      <c r="U228" s="1"/>
      <c r="V228"/>
      <c r="W228"/>
      <c r="X228"/>
      <c r="Y228"/>
      <c r="Z228"/>
      <c r="AA228" s="35"/>
      <c r="AB228" s="35"/>
    </row>
    <row r="229" spans="1:28" s="42" customFormat="1">
      <c r="A229" s="2"/>
      <c r="C229" s="36"/>
      <c r="D229" s="62"/>
      <c r="E229" s="2"/>
      <c r="F229" s="95"/>
      <c r="G229" s="13"/>
      <c r="H229" s="2"/>
      <c r="I229" s="2"/>
      <c r="J229" s="2"/>
      <c r="K229" s="12"/>
      <c r="L229" s="13"/>
      <c r="M229" s="2"/>
      <c r="N229" s="43"/>
      <c r="O229" s="36"/>
      <c r="P229" s="9"/>
      <c r="Q229" s="5"/>
      <c r="R229" s="2"/>
      <c r="S229"/>
      <c r="T229"/>
      <c r="U229" s="1"/>
      <c r="V229"/>
      <c r="W229"/>
      <c r="X229"/>
      <c r="Y229"/>
      <c r="Z229"/>
      <c r="AA229" s="35"/>
      <c r="AB229" s="35"/>
    </row>
    <row r="230" spans="1:28" s="42" customFormat="1">
      <c r="A230" s="2"/>
      <c r="C230" s="36"/>
      <c r="D230" s="62"/>
      <c r="E230" s="2"/>
      <c r="F230" s="95"/>
      <c r="G230" s="13"/>
      <c r="H230" s="2"/>
      <c r="I230" s="2"/>
      <c r="J230" s="2"/>
      <c r="K230" s="12"/>
      <c r="L230" s="13"/>
      <c r="M230" s="2"/>
      <c r="N230" s="43"/>
      <c r="O230" s="36"/>
      <c r="P230" s="9"/>
      <c r="Q230" s="5"/>
      <c r="R230" s="2"/>
      <c r="S230"/>
      <c r="T230"/>
      <c r="U230" s="1"/>
      <c r="V230"/>
      <c r="W230"/>
      <c r="X230"/>
      <c r="Y230"/>
      <c r="Z230"/>
      <c r="AA230" s="35"/>
      <c r="AB230" s="35"/>
    </row>
    <row r="231" spans="1:28" s="42" customFormat="1">
      <c r="A231" s="2"/>
      <c r="C231" s="36"/>
      <c r="D231" s="62"/>
      <c r="E231" s="2"/>
      <c r="F231" s="95"/>
      <c r="G231" s="13"/>
      <c r="H231" s="2"/>
      <c r="I231" s="2"/>
      <c r="J231" s="2"/>
      <c r="K231" s="12"/>
      <c r="L231" s="13"/>
      <c r="M231" s="2"/>
      <c r="N231" s="43"/>
      <c r="O231" s="36"/>
      <c r="P231" s="9"/>
      <c r="Q231" s="5"/>
      <c r="R231" s="2"/>
      <c r="S231"/>
      <c r="T231"/>
      <c r="U231" s="1"/>
      <c r="V231"/>
      <c r="W231"/>
      <c r="X231"/>
      <c r="Y231"/>
      <c r="Z231"/>
      <c r="AA231" s="35"/>
      <c r="AB231" s="35"/>
    </row>
    <row r="232" spans="1:28" s="42" customFormat="1">
      <c r="A232" s="2"/>
      <c r="C232" s="36"/>
      <c r="D232" s="62"/>
      <c r="E232" s="2"/>
      <c r="F232" s="95"/>
      <c r="G232" s="13"/>
      <c r="H232" s="2"/>
      <c r="I232" s="2"/>
      <c r="J232" s="2"/>
      <c r="K232" s="12"/>
      <c r="L232" s="13"/>
      <c r="M232" s="2"/>
      <c r="N232" s="43"/>
      <c r="O232" s="36"/>
      <c r="P232" s="9"/>
      <c r="Q232" s="5"/>
      <c r="R232" s="2"/>
      <c r="S232"/>
      <c r="T232"/>
      <c r="U232" s="1"/>
      <c r="V232"/>
      <c r="W232"/>
      <c r="X232"/>
      <c r="Y232"/>
      <c r="Z232"/>
      <c r="AA232" s="35"/>
      <c r="AB232" s="35"/>
    </row>
    <row r="233" spans="1:28" s="42" customFormat="1">
      <c r="A233" s="2"/>
      <c r="C233" s="36"/>
      <c r="D233" s="62"/>
      <c r="E233" s="2"/>
      <c r="F233" s="95"/>
      <c r="G233" s="13"/>
      <c r="H233" s="2"/>
      <c r="I233" s="2"/>
      <c r="J233" s="2"/>
      <c r="K233" s="12"/>
      <c r="L233" s="13"/>
      <c r="M233" s="2"/>
      <c r="N233" s="43"/>
      <c r="O233" s="36"/>
      <c r="P233" s="9"/>
      <c r="Q233" s="5"/>
      <c r="R233" s="2"/>
      <c r="S233"/>
      <c r="T233"/>
      <c r="U233" s="1"/>
      <c r="V233"/>
      <c r="W233"/>
      <c r="X233"/>
      <c r="Y233"/>
      <c r="Z233"/>
      <c r="AA233" s="35"/>
      <c r="AB233" s="35"/>
    </row>
    <row r="234" spans="1:28" s="42" customFormat="1">
      <c r="A234" s="2"/>
      <c r="C234" s="36"/>
      <c r="D234" s="62"/>
      <c r="E234" s="2"/>
      <c r="F234" s="95"/>
      <c r="G234" s="13"/>
      <c r="H234" s="2"/>
      <c r="I234" s="2"/>
      <c r="J234" s="2"/>
      <c r="K234" s="12"/>
      <c r="L234" s="13"/>
      <c r="M234" s="2"/>
      <c r="N234" s="43"/>
      <c r="O234" s="36"/>
      <c r="P234" s="9"/>
      <c r="Q234" s="5"/>
      <c r="R234" s="2"/>
      <c r="S234"/>
      <c r="T234"/>
      <c r="U234" s="1"/>
      <c r="V234"/>
      <c r="W234"/>
      <c r="X234"/>
      <c r="Y234"/>
      <c r="Z234"/>
      <c r="AA234" s="35"/>
      <c r="AB234" s="35"/>
    </row>
    <row r="235" spans="1:28" s="42" customFormat="1">
      <c r="A235" s="2"/>
      <c r="C235" s="36"/>
      <c r="D235" s="62"/>
      <c r="E235" s="2"/>
      <c r="F235" s="95"/>
      <c r="G235" s="13"/>
      <c r="H235" s="2"/>
      <c r="I235" s="2"/>
      <c r="J235" s="2"/>
      <c r="K235" s="12"/>
      <c r="L235" s="13"/>
      <c r="M235" s="2"/>
      <c r="N235" s="43"/>
      <c r="O235" s="36"/>
      <c r="P235" s="9"/>
      <c r="Q235" s="5"/>
      <c r="R235" s="2"/>
      <c r="S235"/>
      <c r="T235"/>
      <c r="U235" s="1"/>
      <c r="V235"/>
      <c r="W235"/>
      <c r="X235"/>
      <c r="Y235"/>
      <c r="Z235"/>
      <c r="AA235" s="35"/>
      <c r="AB235" s="35"/>
    </row>
    <row r="236" spans="1:28" s="42" customFormat="1">
      <c r="A236" s="2"/>
      <c r="C236" s="36"/>
      <c r="D236" s="62"/>
      <c r="E236" s="2"/>
      <c r="F236" s="95"/>
      <c r="G236" s="13"/>
      <c r="H236" s="2"/>
      <c r="I236" s="2"/>
      <c r="J236" s="2"/>
      <c r="K236" s="12"/>
      <c r="L236" s="13"/>
      <c r="M236" s="2"/>
      <c r="N236" s="43"/>
      <c r="O236" s="36"/>
      <c r="P236" s="9"/>
      <c r="Q236" s="5"/>
      <c r="R236" s="2"/>
      <c r="S236"/>
      <c r="T236"/>
      <c r="U236" s="1"/>
      <c r="V236"/>
      <c r="W236"/>
      <c r="X236"/>
      <c r="Y236"/>
      <c r="Z236"/>
      <c r="AA236" s="35"/>
      <c r="AB236" s="35"/>
    </row>
    <row r="237" spans="1:28" s="42" customFormat="1">
      <c r="A237" s="2"/>
      <c r="C237" s="36"/>
      <c r="D237" s="62"/>
      <c r="E237" s="2"/>
      <c r="F237" s="95"/>
      <c r="G237" s="13"/>
      <c r="H237" s="2"/>
      <c r="I237" s="2"/>
      <c r="J237" s="2"/>
      <c r="K237" s="12"/>
      <c r="L237" s="13"/>
      <c r="M237" s="2"/>
      <c r="N237" s="43"/>
      <c r="O237" s="36"/>
      <c r="P237" s="9"/>
      <c r="Q237" s="5"/>
      <c r="R237" s="2"/>
      <c r="S237"/>
      <c r="T237"/>
      <c r="U237" s="1"/>
      <c r="V237"/>
      <c r="W237"/>
      <c r="X237"/>
      <c r="Y237"/>
      <c r="Z237"/>
      <c r="AA237" s="35"/>
      <c r="AB237" s="35"/>
    </row>
    <row r="238" spans="1:28" s="42" customFormat="1">
      <c r="A238" s="2"/>
      <c r="C238" s="36"/>
      <c r="D238" s="62"/>
      <c r="E238" s="2"/>
      <c r="F238" s="95"/>
      <c r="G238" s="13"/>
      <c r="H238" s="2"/>
      <c r="I238" s="2"/>
      <c r="J238" s="2"/>
      <c r="K238" s="12"/>
      <c r="L238" s="13"/>
      <c r="M238" s="2"/>
      <c r="N238" s="43"/>
      <c r="O238" s="36"/>
      <c r="P238" s="9"/>
      <c r="Q238" s="5"/>
      <c r="R238" s="2"/>
      <c r="S238"/>
      <c r="T238"/>
      <c r="U238" s="1"/>
      <c r="V238"/>
      <c r="W238"/>
      <c r="X238"/>
      <c r="Y238"/>
      <c r="Z238"/>
      <c r="AA238" s="35"/>
      <c r="AB238" s="35"/>
    </row>
    <row r="239" spans="1:28" s="42" customFormat="1">
      <c r="A239" s="2"/>
      <c r="C239" s="36"/>
      <c r="D239" s="62"/>
      <c r="E239" s="2"/>
      <c r="F239" s="95"/>
      <c r="G239" s="13"/>
      <c r="H239" s="2"/>
      <c r="I239" s="2"/>
      <c r="J239" s="2"/>
      <c r="K239" s="12"/>
      <c r="L239" s="13"/>
      <c r="M239" s="2"/>
      <c r="N239" s="43"/>
      <c r="O239" s="36"/>
      <c r="P239" s="9"/>
      <c r="Q239" s="5"/>
      <c r="R239" s="2"/>
      <c r="S239"/>
      <c r="T239"/>
      <c r="U239" s="1"/>
      <c r="V239"/>
      <c r="W239"/>
      <c r="X239"/>
      <c r="Y239"/>
      <c r="Z239"/>
      <c r="AA239" s="35"/>
      <c r="AB239" s="35"/>
    </row>
    <row r="240" spans="1:28" s="42" customFormat="1">
      <c r="A240" s="2"/>
      <c r="C240" s="36"/>
      <c r="D240" s="62"/>
      <c r="E240" s="2"/>
      <c r="F240" s="95"/>
      <c r="G240" s="13"/>
      <c r="H240" s="2"/>
      <c r="I240" s="2"/>
      <c r="J240" s="2"/>
      <c r="K240" s="12"/>
      <c r="L240" s="13"/>
      <c r="M240" s="2"/>
      <c r="N240" s="43"/>
      <c r="O240" s="36"/>
      <c r="P240" s="9"/>
      <c r="Q240" s="5"/>
      <c r="R240" s="2"/>
      <c r="S240"/>
      <c r="T240"/>
      <c r="U240" s="1"/>
      <c r="V240"/>
      <c r="W240"/>
      <c r="X240"/>
      <c r="Y240"/>
      <c r="Z240"/>
      <c r="AA240" s="35"/>
      <c r="AB240" s="35"/>
    </row>
    <row r="241" spans="1:28" s="42" customFormat="1">
      <c r="A241" s="2"/>
      <c r="C241" s="36"/>
      <c r="D241" s="62"/>
      <c r="E241" s="2"/>
      <c r="F241" s="95"/>
      <c r="G241" s="13"/>
      <c r="H241" s="2"/>
      <c r="I241" s="2"/>
      <c r="J241" s="2"/>
      <c r="K241" s="12"/>
      <c r="L241" s="13"/>
      <c r="M241" s="2"/>
      <c r="N241" s="43"/>
      <c r="O241" s="36"/>
      <c r="P241" s="9"/>
      <c r="Q241" s="5"/>
      <c r="R241" s="2"/>
      <c r="S241"/>
      <c r="T241"/>
      <c r="U241" s="1"/>
      <c r="V241"/>
      <c r="W241"/>
      <c r="X241"/>
      <c r="Y241"/>
      <c r="Z241"/>
      <c r="AA241" s="35"/>
      <c r="AB241" s="35"/>
    </row>
    <row r="242" spans="1:28" s="42" customFormat="1">
      <c r="A242" s="2"/>
      <c r="C242" s="36"/>
      <c r="D242" s="62"/>
      <c r="E242" s="2"/>
      <c r="F242" s="95"/>
      <c r="G242" s="13"/>
      <c r="H242" s="2"/>
      <c r="I242" s="2"/>
      <c r="J242" s="2"/>
      <c r="K242" s="12"/>
      <c r="L242" s="13"/>
      <c r="M242" s="2"/>
      <c r="N242" s="43"/>
      <c r="O242" s="36"/>
      <c r="P242" s="9"/>
      <c r="Q242" s="5"/>
      <c r="R242" s="2"/>
      <c r="S242"/>
      <c r="T242"/>
      <c r="U242" s="1"/>
      <c r="V242"/>
      <c r="W242"/>
      <c r="X242"/>
      <c r="Y242"/>
      <c r="Z242"/>
      <c r="AA242" s="35"/>
      <c r="AB242" s="35"/>
    </row>
    <row r="243" spans="1:28" s="42" customFormat="1">
      <c r="A243" s="2"/>
      <c r="C243" s="36"/>
      <c r="D243" s="62"/>
      <c r="E243" s="2"/>
      <c r="F243" s="95"/>
      <c r="G243" s="13"/>
      <c r="H243" s="2"/>
      <c r="I243" s="2"/>
      <c r="J243" s="2"/>
      <c r="K243" s="12"/>
      <c r="L243" s="13"/>
      <c r="M243" s="2"/>
      <c r="N243" s="43"/>
      <c r="O243" s="36"/>
      <c r="P243" s="9"/>
      <c r="Q243" s="5"/>
      <c r="R243" s="2"/>
      <c r="S243"/>
      <c r="T243"/>
      <c r="U243" s="1"/>
      <c r="V243"/>
      <c r="W243"/>
      <c r="X243"/>
      <c r="Y243"/>
      <c r="Z243"/>
      <c r="AA243" s="35"/>
      <c r="AB243" s="35"/>
    </row>
    <row r="244" spans="1:28" s="42" customFormat="1">
      <c r="A244" s="2"/>
      <c r="C244" s="36"/>
      <c r="D244" s="62"/>
      <c r="E244" s="2"/>
      <c r="F244" s="95"/>
      <c r="G244" s="13"/>
      <c r="H244" s="2"/>
      <c r="I244" s="2"/>
      <c r="J244" s="2"/>
      <c r="K244" s="12"/>
      <c r="L244" s="13"/>
      <c r="M244" s="2"/>
      <c r="N244" s="43"/>
      <c r="O244" s="36"/>
      <c r="P244" s="9"/>
      <c r="Q244" s="5"/>
      <c r="R244" s="2"/>
      <c r="S244"/>
      <c r="T244"/>
      <c r="U244" s="1"/>
      <c r="V244"/>
      <c r="W244"/>
      <c r="X244"/>
      <c r="Y244"/>
      <c r="Z244"/>
      <c r="AA244" s="35"/>
      <c r="AB244" s="35"/>
    </row>
    <row r="245" spans="1:28" s="42" customFormat="1">
      <c r="A245" s="2"/>
      <c r="C245" s="36"/>
      <c r="D245" s="62"/>
      <c r="E245" s="2"/>
      <c r="F245" s="95"/>
      <c r="G245" s="13"/>
      <c r="H245" s="2"/>
      <c r="I245" s="2"/>
      <c r="J245" s="2"/>
      <c r="K245" s="12"/>
      <c r="L245" s="13"/>
      <c r="M245" s="2"/>
      <c r="N245" s="43"/>
      <c r="O245" s="36"/>
      <c r="P245" s="9"/>
      <c r="Q245" s="5"/>
      <c r="R245" s="2"/>
      <c r="S245"/>
      <c r="T245"/>
      <c r="U245" s="1"/>
      <c r="V245"/>
      <c r="W245"/>
      <c r="X245"/>
      <c r="Y245"/>
      <c r="Z245"/>
      <c r="AA245" s="35"/>
      <c r="AB245" s="35"/>
    </row>
    <row r="246" spans="1:28" s="42" customFormat="1">
      <c r="A246" s="2"/>
      <c r="C246" s="36"/>
      <c r="D246" s="62"/>
      <c r="E246" s="2"/>
      <c r="F246" s="95"/>
      <c r="G246" s="13"/>
      <c r="H246" s="2"/>
      <c r="I246" s="2"/>
      <c r="J246" s="2"/>
      <c r="K246" s="12"/>
      <c r="L246" s="13"/>
      <c r="M246" s="2"/>
      <c r="N246" s="43"/>
      <c r="O246" s="36"/>
      <c r="P246" s="9"/>
      <c r="Q246" s="5"/>
      <c r="R246" s="2"/>
      <c r="S246"/>
      <c r="T246"/>
      <c r="U246" s="1"/>
      <c r="V246"/>
      <c r="W246"/>
      <c r="X246"/>
      <c r="Y246"/>
      <c r="Z246"/>
      <c r="AA246" s="35"/>
      <c r="AB246" s="35"/>
    </row>
    <row r="247" spans="1:28" s="42" customFormat="1">
      <c r="A247" s="2"/>
      <c r="C247" s="36"/>
      <c r="D247" s="62"/>
      <c r="E247" s="2"/>
      <c r="F247" s="95"/>
      <c r="G247" s="13"/>
      <c r="H247" s="2"/>
      <c r="I247" s="2"/>
      <c r="J247" s="2"/>
      <c r="K247" s="12"/>
      <c r="L247" s="13"/>
      <c r="M247" s="2"/>
      <c r="N247" s="43"/>
      <c r="O247" s="36"/>
      <c r="P247" s="9"/>
      <c r="Q247" s="5"/>
      <c r="R247" s="2"/>
      <c r="S247"/>
      <c r="T247"/>
      <c r="U247" s="1"/>
      <c r="V247"/>
      <c r="W247"/>
      <c r="X247"/>
      <c r="Y247"/>
      <c r="Z247"/>
      <c r="AA247" s="35"/>
      <c r="AB247" s="35"/>
    </row>
    <row r="248" spans="1:28" s="42" customFormat="1">
      <c r="A248" s="2"/>
      <c r="C248" s="36"/>
      <c r="D248" s="62"/>
      <c r="E248" s="2"/>
      <c r="F248" s="95"/>
      <c r="G248" s="13"/>
      <c r="H248" s="2"/>
      <c r="I248" s="2"/>
      <c r="J248" s="2"/>
      <c r="K248" s="12"/>
      <c r="L248" s="13"/>
      <c r="M248" s="2"/>
      <c r="N248" s="43"/>
      <c r="O248" s="36"/>
      <c r="P248" s="9"/>
      <c r="Q248" s="5"/>
      <c r="R248" s="2"/>
      <c r="S248"/>
      <c r="T248"/>
      <c r="U248" s="1"/>
      <c r="V248"/>
      <c r="W248"/>
      <c r="X248"/>
      <c r="Y248"/>
      <c r="Z248"/>
      <c r="AA248" s="35"/>
      <c r="AB248" s="35"/>
    </row>
    <row r="249" spans="1:28" s="42" customFormat="1">
      <c r="A249" s="2"/>
      <c r="C249" s="36"/>
      <c r="D249" s="62"/>
      <c r="E249" s="2"/>
      <c r="F249" s="95"/>
      <c r="G249" s="13"/>
      <c r="H249" s="2"/>
      <c r="I249" s="2"/>
      <c r="J249" s="2"/>
      <c r="K249" s="12"/>
      <c r="L249" s="13"/>
      <c r="M249" s="2"/>
      <c r="N249" s="43"/>
      <c r="O249" s="36"/>
      <c r="P249" s="9"/>
      <c r="Q249" s="5"/>
      <c r="R249" s="2"/>
      <c r="S249"/>
      <c r="T249"/>
      <c r="U249" s="1"/>
      <c r="V249"/>
      <c r="W249"/>
      <c r="X249"/>
      <c r="Y249"/>
      <c r="Z249"/>
      <c r="AA249" s="35"/>
      <c r="AB249" s="35"/>
    </row>
    <row r="250" spans="1:28" s="42" customFormat="1">
      <c r="A250" s="2"/>
      <c r="C250" s="36"/>
      <c r="D250" s="62"/>
      <c r="E250" s="2"/>
      <c r="F250" s="95"/>
      <c r="G250" s="13"/>
      <c r="H250" s="2"/>
      <c r="I250" s="2"/>
      <c r="J250" s="2"/>
      <c r="K250" s="12"/>
      <c r="L250" s="13"/>
      <c r="M250" s="2"/>
      <c r="N250" s="43"/>
      <c r="O250" s="36"/>
      <c r="P250" s="9"/>
      <c r="Q250" s="5"/>
      <c r="R250" s="2"/>
      <c r="S250"/>
      <c r="T250"/>
      <c r="U250" s="1"/>
      <c r="V250"/>
      <c r="W250"/>
      <c r="X250"/>
      <c r="Y250"/>
      <c r="Z250"/>
      <c r="AA250" s="35"/>
      <c r="AB250" s="35"/>
    </row>
    <row r="251" spans="1:28" s="42" customFormat="1">
      <c r="A251" s="2"/>
      <c r="C251" s="36"/>
      <c r="D251" s="62"/>
      <c r="E251" s="2"/>
      <c r="F251" s="95"/>
      <c r="G251" s="13"/>
      <c r="H251" s="2"/>
      <c r="I251" s="2"/>
      <c r="J251" s="2"/>
      <c r="K251" s="12"/>
      <c r="L251" s="13"/>
      <c r="M251" s="2"/>
      <c r="N251" s="43"/>
      <c r="O251" s="36"/>
      <c r="P251" s="9"/>
      <c r="Q251" s="5"/>
      <c r="R251" s="2"/>
      <c r="S251"/>
      <c r="T251"/>
      <c r="U251" s="1"/>
      <c r="V251"/>
      <c r="W251"/>
      <c r="X251"/>
      <c r="Y251"/>
      <c r="Z251"/>
      <c r="AA251" s="35"/>
      <c r="AB251" s="35"/>
    </row>
    <row r="252" spans="1:28" s="42" customFormat="1">
      <c r="A252" s="2"/>
      <c r="C252" s="36"/>
      <c r="D252" s="62"/>
      <c r="E252" s="2"/>
      <c r="F252" s="95"/>
      <c r="G252" s="13"/>
      <c r="H252" s="2"/>
      <c r="I252" s="2"/>
      <c r="J252" s="2"/>
      <c r="K252" s="12"/>
      <c r="L252" s="13"/>
      <c r="M252" s="2"/>
      <c r="N252" s="43"/>
      <c r="O252" s="36"/>
      <c r="P252" s="9"/>
      <c r="Q252" s="5"/>
      <c r="R252" s="2"/>
      <c r="S252"/>
      <c r="T252"/>
      <c r="U252" s="1"/>
      <c r="V252"/>
      <c r="W252"/>
      <c r="X252"/>
      <c r="Y252"/>
      <c r="Z252"/>
      <c r="AA252" s="35"/>
      <c r="AB252" s="35"/>
    </row>
    <row r="253" spans="1:28" s="42" customFormat="1">
      <c r="A253" s="2"/>
      <c r="C253" s="36"/>
      <c r="D253" s="62"/>
      <c r="E253" s="2"/>
      <c r="F253" s="95"/>
      <c r="G253" s="13"/>
      <c r="H253" s="2"/>
      <c r="I253" s="2"/>
      <c r="J253" s="2"/>
      <c r="K253" s="12"/>
      <c r="L253" s="13"/>
      <c r="M253" s="2"/>
      <c r="N253" s="43"/>
      <c r="O253" s="36"/>
      <c r="P253" s="9"/>
      <c r="Q253" s="5"/>
      <c r="R253" s="2"/>
      <c r="S253"/>
      <c r="T253"/>
      <c r="U253" s="1"/>
      <c r="V253"/>
      <c r="W253"/>
      <c r="X253"/>
      <c r="Y253"/>
      <c r="Z253"/>
      <c r="AA253" s="35"/>
      <c r="AB253" s="35"/>
    </row>
    <row r="254" spans="1:28" s="42" customFormat="1">
      <c r="A254" s="2"/>
      <c r="C254" s="36"/>
      <c r="D254" s="62"/>
      <c r="E254" s="2"/>
      <c r="F254" s="95"/>
      <c r="G254" s="13"/>
      <c r="H254" s="2"/>
      <c r="I254" s="2"/>
      <c r="J254" s="2"/>
      <c r="K254" s="12"/>
      <c r="L254" s="13"/>
      <c r="M254" s="2"/>
      <c r="N254" s="43"/>
      <c r="O254" s="36"/>
      <c r="P254" s="9"/>
      <c r="Q254" s="5"/>
      <c r="R254" s="2"/>
      <c r="S254"/>
      <c r="T254"/>
      <c r="U254" s="1"/>
      <c r="V254"/>
      <c r="W254"/>
      <c r="X254"/>
      <c r="Y254"/>
      <c r="Z254"/>
      <c r="AA254" s="35"/>
      <c r="AB254" s="35"/>
    </row>
    <row r="255" spans="1:28" s="42" customFormat="1">
      <c r="A255" s="2"/>
      <c r="C255" s="36"/>
      <c r="D255" s="62"/>
      <c r="E255" s="2"/>
      <c r="F255" s="95"/>
      <c r="G255" s="13"/>
      <c r="H255" s="2"/>
      <c r="I255" s="2"/>
      <c r="J255" s="2"/>
      <c r="K255" s="12"/>
      <c r="L255" s="13"/>
      <c r="M255" s="2"/>
      <c r="N255" s="43"/>
      <c r="O255" s="36"/>
      <c r="P255" s="9"/>
      <c r="Q255" s="5"/>
      <c r="R255" s="2"/>
      <c r="S255"/>
      <c r="T255"/>
      <c r="U255" s="1"/>
      <c r="V255"/>
      <c r="W255"/>
      <c r="X255"/>
      <c r="Y255"/>
      <c r="Z255"/>
      <c r="AA255" s="35"/>
      <c r="AB255" s="35"/>
    </row>
    <row r="256" spans="1:28" s="42" customFormat="1">
      <c r="A256" s="2"/>
      <c r="C256" s="36"/>
      <c r="D256" s="62"/>
      <c r="E256" s="2"/>
      <c r="F256" s="95"/>
      <c r="G256" s="13"/>
      <c r="H256" s="2"/>
      <c r="I256" s="2"/>
      <c r="J256" s="2"/>
      <c r="K256" s="12"/>
      <c r="L256" s="13"/>
      <c r="M256" s="2"/>
      <c r="N256" s="43"/>
      <c r="O256" s="36"/>
      <c r="P256" s="9"/>
      <c r="Q256" s="5"/>
      <c r="R256" s="2"/>
      <c r="S256"/>
      <c r="T256"/>
      <c r="U256" s="1"/>
      <c r="V256"/>
      <c r="W256"/>
      <c r="X256"/>
      <c r="Y256"/>
      <c r="Z256"/>
      <c r="AA256" s="35"/>
      <c r="AB256" s="35"/>
    </row>
    <row r="257" spans="1:28" s="42" customFormat="1">
      <c r="A257" s="2"/>
      <c r="C257" s="36"/>
      <c r="D257" s="62"/>
      <c r="E257" s="2"/>
      <c r="F257" s="95"/>
      <c r="G257" s="13"/>
      <c r="H257" s="2"/>
      <c r="I257" s="2"/>
      <c r="J257" s="2"/>
      <c r="K257" s="12"/>
      <c r="L257" s="13"/>
      <c r="M257" s="2"/>
      <c r="N257" s="43"/>
      <c r="O257" s="36"/>
      <c r="P257" s="9"/>
      <c r="Q257" s="5"/>
      <c r="R257" s="2"/>
      <c r="S257"/>
      <c r="T257"/>
      <c r="U257" s="1"/>
      <c r="V257"/>
      <c r="W257"/>
      <c r="X257"/>
      <c r="Y257"/>
      <c r="Z257"/>
      <c r="AA257" s="35"/>
      <c r="AB257" s="35"/>
    </row>
    <row r="258" spans="1:28" s="42" customFormat="1">
      <c r="A258" s="2"/>
      <c r="C258" s="36"/>
      <c r="D258" s="62"/>
      <c r="E258" s="2"/>
      <c r="F258" s="95"/>
      <c r="G258" s="13"/>
      <c r="H258" s="2"/>
      <c r="I258" s="2"/>
      <c r="J258" s="2"/>
      <c r="K258" s="12"/>
      <c r="L258" s="13"/>
      <c r="M258" s="2"/>
      <c r="N258" s="43"/>
      <c r="O258" s="36"/>
      <c r="P258" s="9"/>
      <c r="Q258" s="5"/>
      <c r="R258" s="2"/>
      <c r="S258"/>
      <c r="T258"/>
      <c r="U258" s="1"/>
      <c r="V258"/>
      <c r="W258"/>
      <c r="X258"/>
      <c r="Y258"/>
      <c r="Z258"/>
      <c r="AA258" s="35"/>
      <c r="AB258" s="35"/>
    </row>
    <row r="259" spans="1:28" s="42" customFormat="1">
      <c r="A259" s="2"/>
      <c r="C259" s="36"/>
      <c r="D259" s="62"/>
      <c r="E259" s="2"/>
      <c r="F259" s="95"/>
      <c r="G259" s="13"/>
      <c r="H259" s="2"/>
      <c r="I259" s="2"/>
      <c r="J259" s="2"/>
      <c r="K259" s="12"/>
      <c r="L259" s="13"/>
      <c r="M259" s="2"/>
      <c r="N259" s="43"/>
      <c r="O259" s="36"/>
      <c r="P259" s="9"/>
      <c r="Q259" s="5"/>
      <c r="R259" s="2"/>
      <c r="S259"/>
      <c r="T259"/>
      <c r="U259" s="1"/>
      <c r="V259"/>
      <c r="W259"/>
      <c r="X259"/>
      <c r="Y259"/>
      <c r="Z259"/>
      <c r="AA259" s="35"/>
      <c r="AB259" s="35"/>
    </row>
    <row r="260" spans="1:28" s="42" customFormat="1">
      <c r="A260" s="2"/>
      <c r="C260" s="36"/>
      <c r="D260" s="62"/>
      <c r="E260" s="2"/>
      <c r="F260" s="95"/>
      <c r="G260" s="13"/>
      <c r="H260" s="2"/>
      <c r="I260" s="2"/>
      <c r="J260" s="2"/>
      <c r="K260" s="12"/>
      <c r="L260" s="13"/>
      <c r="M260" s="2"/>
      <c r="N260" s="43"/>
      <c r="O260" s="36"/>
      <c r="P260" s="9"/>
      <c r="Q260" s="5"/>
      <c r="R260" s="2"/>
      <c r="S260"/>
      <c r="T260"/>
      <c r="U260" s="1"/>
      <c r="V260"/>
      <c r="W260"/>
      <c r="X260"/>
      <c r="Y260"/>
      <c r="Z260"/>
      <c r="AA260" s="35"/>
      <c r="AB260" s="35"/>
    </row>
    <row r="261" spans="1:28" s="42" customFormat="1">
      <c r="A261" s="2"/>
      <c r="C261" s="36"/>
      <c r="D261" s="62"/>
      <c r="E261" s="2"/>
      <c r="F261" s="95"/>
      <c r="G261" s="13"/>
      <c r="H261" s="2"/>
      <c r="I261" s="2"/>
      <c r="J261" s="2"/>
      <c r="K261" s="12"/>
      <c r="L261" s="13"/>
      <c r="M261" s="2"/>
      <c r="N261" s="43"/>
      <c r="O261" s="36"/>
      <c r="P261" s="9"/>
      <c r="Q261" s="5"/>
      <c r="R261" s="2"/>
      <c r="S261"/>
      <c r="T261"/>
      <c r="U261" s="1"/>
      <c r="V261"/>
      <c r="W261"/>
      <c r="X261"/>
      <c r="Y261"/>
      <c r="Z261"/>
      <c r="AA261" s="35"/>
      <c r="AB261" s="35"/>
    </row>
    <row r="262" spans="1:28" s="42" customFormat="1">
      <c r="A262" s="2"/>
      <c r="C262" s="36"/>
      <c r="D262" s="62"/>
      <c r="E262" s="2"/>
      <c r="F262" s="95"/>
      <c r="G262" s="13"/>
      <c r="H262" s="2"/>
      <c r="I262" s="2"/>
      <c r="J262" s="2"/>
      <c r="K262" s="12"/>
      <c r="L262" s="13"/>
      <c r="M262" s="2"/>
      <c r="N262" s="43"/>
      <c r="O262" s="36"/>
      <c r="P262" s="9"/>
      <c r="Q262" s="5"/>
      <c r="R262" s="2"/>
      <c r="S262"/>
      <c r="T262"/>
      <c r="U262" s="1"/>
      <c r="V262"/>
      <c r="W262"/>
      <c r="X262"/>
      <c r="Y262"/>
      <c r="Z262"/>
      <c r="AA262" s="35"/>
      <c r="AB262" s="35"/>
    </row>
    <row r="263" spans="1:28" s="42" customFormat="1">
      <c r="A263" s="2"/>
      <c r="C263" s="36"/>
      <c r="D263" s="62"/>
      <c r="E263" s="2"/>
      <c r="F263" s="95"/>
      <c r="G263" s="13"/>
      <c r="H263" s="2"/>
      <c r="I263" s="2"/>
      <c r="J263" s="2"/>
      <c r="K263" s="12"/>
      <c r="L263" s="13"/>
      <c r="M263" s="2"/>
      <c r="N263" s="43"/>
      <c r="O263" s="36"/>
      <c r="P263" s="9"/>
      <c r="Q263" s="5"/>
      <c r="R263" s="2"/>
      <c r="S263"/>
      <c r="T263"/>
      <c r="U263" s="1"/>
      <c r="V263"/>
      <c r="W263"/>
      <c r="X263"/>
      <c r="Y263"/>
      <c r="Z263"/>
      <c r="AA263" s="35"/>
      <c r="AB263" s="35"/>
    </row>
    <row r="264" spans="1:28" s="42" customFormat="1">
      <c r="A264" s="2"/>
      <c r="C264" s="36"/>
      <c r="D264" s="62"/>
      <c r="E264" s="2"/>
      <c r="F264" s="95"/>
      <c r="G264" s="13"/>
      <c r="H264" s="2"/>
      <c r="I264" s="2"/>
      <c r="J264" s="2"/>
      <c r="K264" s="12"/>
      <c r="L264" s="13"/>
      <c r="M264" s="2"/>
      <c r="N264" s="43"/>
      <c r="O264" s="36"/>
      <c r="P264" s="9"/>
      <c r="Q264" s="5"/>
      <c r="R264" s="2"/>
      <c r="S264"/>
      <c r="T264"/>
      <c r="U264" s="1"/>
      <c r="V264"/>
      <c r="W264"/>
      <c r="X264"/>
      <c r="Y264"/>
      <c r="Z264"/>
      <c r="AA264" s="35"/>
      <c r="AB264" s="35"/>
    </row>
    <row r="265" spans="1:28" s="42" customFormat="1">
      <c r="A265" s="2"/>
      <c r="C265" s="36"/>
      <c r="D265" s="62"/>
      <c r="E265" s="2"/>
      <c r="F265" s="95"/>
      <c r="G265" s="13"/>
      <c r="H265" s="2"/>
      <c r="I265" s="2"/>
      <c r="J265" s="2"/>
      <c r="K265" s="12"/>
      <c r="L265" s="13"/>
      <c r="M265" s="2"/>
      <c r="N265" s="43"/>
      <c r="O265" s="36"/>
      <c r="P265" s="9"/>
      <c r="Q265" s="5"/>
      <c r="R265" s="2"/>
      <c r="S265"/>
      <c r="T265"/>
      <c r="U265" s="1"/>
      <c r="V265"/>
      <c r="W265"/>
      <c r="X265"/>
      <c r="Y265"/>
      <c r="Z265"/>
      <c r="AA265" s="35"/>
      <c r="AB265" s="35"/>
    </row>
    <row r="266" spans="1:28" s="42" customFormat="1">
      <c r="A266" s="2"/>
      <c r="C266" s="36"/>
      <c r="D266" s="62"/>
      <c r="E266" s="2"/>
      <c r="F266" s="95"/>
      <c r="G266" s="13"/>
      <c r="H266" s="2"/>
      <c r="I266" s="2"/>
      <c r="J266" s="2"/>
      <c r="K266" s="12"/>
      <c r="L266" s="13"/>
      <c r="M266" s="2"/>
      <c r="N266" s="43"/>
      <c r="O266" s="36"/>
      <c r="P266" s="9"/>
      <c r="Q266" s="5"/>
      <c r="R266" s="2"/>
      <c r="S266"/>
      <c r="T266"/>
      <c r="U266" s="1"/>
      <c r="V266"/>
      <c r="W266"/>
      <c r="X266"/>
      <c r="Y266"/>
      <c r="Z266"/>
      <c r="AA266" s="35"/>
      <c r="AB266" s="35"/>
    </row>
    <row r="267" spans="1:28" s="42" customFormat="1">
      <c r="A267" s="2"/>
      <c r="C267" s="36"/>
      <c r="D267" s="62"/>
      <c r="E267" s="2"/>
      <c r="F267" s="95"/>
      <c r="G267" s="13"/>
      <c r="H267" s="2"/>
      <c r="I267" s="2"/>
      <c r="J267" s="2"/>
      <c r="K267" s="12"/>
      <c r="L267" s="13"/>
      <c r="M267" s="2"/>
      <c r="N267" s="43"/>
      <c r="O267" s="36"/>
      <c r="P267" s="9"/>
      <c r="Q267" s="5"/>
      <c r="R267" s="2"/>
      <c r="S267"/>
      <c r="T267"/>
      <c r="U267" s="1"/>
      <c r="V267"/>
      <c r="W267"/>
      <c r="X267"/>
      <c r="Y267"/>
      <c r="Z267"/>
      <c r="AA267" s="35"/>
      <c r="AB267" s="35"/>
    </row>
    <row r="268" spans="1:28" s="42" customFormat="1">
      <c r="A268" s="2"/>
      <c r="C268" s="36"/>
      <c r="D268" s="62"/>
      <c r="E268" s="2"/>
      <c r="F268" s="95"/>
      <c r="G268" s="13"/>
      <c r="H268" s="2"/>
      <c r="I268" s="2"/>
      <c r="J268" s="2"/>
      <c r="K268" s="12"/>
      <c r="L268" s="13"/>
      <c r="M268" s="2"/>
      <c r="N268" s="43"/>
      <c r="O268" s="36"/>
      <c r="P268" s="9"/>
      <c r="Q268" s="5"/>
      <c r="R268" s="2"/>
      <c r="S268"/>
      <c r="T268"/>
      <c r="U268" s="1"/>
      <c r="V268"/>
      <c r="W268"/>
      <c r="X268"/>
      <c r="Y268"/>
      <c r="Z268"/>
      <c r="AA268" s="35"/>
      <c r="AB268" s="35"/>
    </row>
    <row r="269" spans="1:28" s="42" customFormat="1">
      <c r="A269" s="2"/>
      <c r="C269" s="36"/>
      <c r="D269" s="62"/>
      <c r="E269" s="2"/>
      <c r="F269" s="95"/>
      <c r="G269" s="13"/>
      <c r="H269" s="2"/>
      <c r="I269" s="2"/>
      <c r="J269" s="2"/>
      <c r="K269" s="12"/>
      <c r="L269" s="13"/>
      <c r="M269" s="2"/>
      <c r="N269" s="43"/>
      <c r="O269" s="36"/>
      <c r="P269" s="9"/>
      <c r="Q269" s="5"/>
      <c r="R269" s="2"/>
      <c r="S269"/>
      <c r="T269"/>
      <c r="U269" s="1"/>
      <c r="V269"/>
      <c r="W269"/>
      <c r="X269"/>
      <c r="Y269"/>
      <c r="Z269"/>
      <c r="AA269" s="35"/>
      <c r="AB269" s="35"/>
    </row>
    <row r="270" spans="1:28" s="42" customFormat="1">
      <c r="A270" s="2"/>
      <c r="C270" s="36"/>
      <c r="D270" s="62"/>
      <c r="E270" s="2"/>
      <c r="F270" s="95"/>
      <c r="G270" s="13"/>
      <c r="H270" s="2"/>
      <c r="I270" s="2"/>
      <c r="J270" s="2"/>
      <c r="K270" s="12"/>
      <c r="L270" s="13"/>
      <c r="M270" s="2"/>
      <c r="N270" s="43"/>
      <c r="O270" s="36"/>
      <c r="P270" s="9"/>
      <c r="Q270" s="5"/>
      <c r="R270" s="2"/>
      <c r="S270"/>
      <c r="T270"/>
      <c r="U270" s="1"/>
      <c r="V270"/>
      <c r="W270"/>
      <c r="X270"/>
      <c r="Y270"/>
      <c r="Z270"/>
      <c r="AA270" s="35"/>
      <c r="AB270" s="35"/>
    </row>
    <row r="271" spans="1:28" s="42" customFormat="1">
      <c r="A271" s="2"/>
      <c r="C271" s="36"/>
      <c r="D271" s="62"/>
      <c r="E271" s="2"/>
      <c r="F271" s="95"/>
      <c r="G271" s="13"/>
      <c r="H271" s="2"/>
      <c r="I271" s="2"/>
      <c r="J271" s="2"/>
      <c r="K271" s="12"/>
      <c r="L271" s="13"/>
      <c r="M271" s="2"/>
      <c r="N271" s="43"/>
      <c r="O271" s="36"/>
      <c r="P271" s="9"/>
      <c r="Q271" s="5"/>
      <c r="R271" s="2"/>
      <c r="S271"/>
      <c r="T271"/>
      <c r="U271" s="1"/>
      <c r="V271"/>
      <c r="W271"/>
      <c r="X271"/>
      <c r="Y271"/>
      <c r="Z271"/>
      <c r="AA271" s="35"/>
      <c r="AB271" s="35"/>
    </row>
    <row r="272" spans="1:28" s="42" customFormat="1">
      <c r="A272" s="2"/>
      <c r="C272" s="36"/>
      <c r="D272" s="62"/>
      <c r="E272" s="2"/>
      <c r="F272" s="95"/>
      <c r="G272" s="13"/>
      <c r="H272" s="2"/>
      <c r="I272" s="2"/>
      <c r="J272" s="2"/>
      <c r="K272" s="12"/>
      <c r="L272" s="13"/>
      <c r="M272" s="2"/>
      <c r="N272" s="43"/>
      <c r="O272" s="36"/>
      <c r="P272" s="9"/>
      <c r="Q272" s="5"/>
      <c r="R272" s="2"/>
      <c r="S272"/>
      <c r="T272"/>
      <c r="U272" s="1"/>
      <c r="V272"/>
      <c r="W272"/>
      <c r="X272"/>
      <c r="Y272"/>
      <c r="Z272"/>
      <c r="AA272" s="35"/>
      <c r="AB272" s="35"/>
    </row>
    <row r="273" spans="1:28" s="42" customFormat="1">
      <c r="A273" s="2"/>
      <c r="C273" s="36"/>
      <c r="D273" s="62"/>
      <c r="E273" s="2"/>
      <c r="F273" s="95"/>
      <c r="G273" s="13"/>
      <c r="H273" s="2"/>
      <c r="I273" s="2"/>
      <c r="J273" s="2"/>
      <c r="K273" s="12"/>
      <c r="L273" s="13"/>
      <c r="M273" s="2"/>
      <c r="N273" s="43"/>
      <c r="O273" s="36"/>
      <c r="P273" s="9"/>
      <c r="Q273" s="5"/>
      <c r="R273" s="2"/>
      <c r="S273"/>
      <c r="T273"/>
      <c r="U273" s="1"/>
      <c r="V273"/>
      <c r="W273"/>
      <c r="X273"/>
      <c r="Y273"/>
      <c r="Z273"/>
      <c r="AA273" s="35"/>
      <c r="AB273" s="35"/>
    </row>
    <row r="274" spans="1:28" s="42" customFormat="1">
      <c r="A274" s="2"/>
      <c r="C274" s="36"/>
      <c r="D274" s="62"/>
      <c r="E274" s="2"/>
      <c r="F274" s="95"/>
      <c r="G274" s="13"/>
      <c r="H274" s="2"/>
      <c r="I274" s="2"/>
      <c r="J274" s="2"/>
      <c r="K274" s="12"/>
      <c r="L274" s="13"/>
      <c r="M274" s="2"/>
      <c r="N274" s="43"/>
      <c r="O274" s="36"/>
      <c r="P274" s="9"/>
      <c r="Q274" s="5"/>
      <c r="R274" s="2"/>
      <c r="S274"/>
      <c r="T274"/>
      <c r="U274" s="1"/>
      <c r="V274"/>
      <c r="W274"/>
      <c r="X274"/>
      <c r="Y274"/>
      <c r="Z274"/>
      <c r="AA274" s="35"/>
      <c r="AB274" s="35"/>
    </row>
    <row r="275" spans="1:28" s="42" customFormat="1">
      <c r="A275" s="2"/>
      <c r="C275" s="36"/>
      <c r="D275" s="62"/>
      <c r="E275" s="2"/>
      <c r="F275" s="95"/>
      <c r="G275" s="13"/>
      <c r="H275" s="2"/>
      <c r="I275" s="2"/>
      <c r="J275" s="2"/>
      <c r="K275" s="12"/>
      <c r="L275" s="13"/>
      <c r="M275" s="2"/>
      <c r="N275" s="43"/>
      <c r="O275" s="36"/>
      <c r="P275" s="9"/>
      <c r="Q275" s="5"/>
      <c r="R275" s="2"/>
      <c r="S275"/>
      <c r="T275"/>
      <c r="U275" s="1"/>
      <c r="V275"/>
      <c r="W275"/>
      <c r="X275"/>
      <c r="Y275"/>
      <c r="Z275"/>
      <c r="AA275" s="35"/>
      <c r="AB275" s="35"/>
    </row>
    <row r="276" spans="1:28" s="42" customFormat="1">
      <c r="A276" s="2"/>
      <c r="C276" s="36"/>
      <c r="D276" s="62"/>
      <c r="E276" s="2"/>
      <c r="F276" s="95"/>
      <c r="G276" s="13"/>
      <c r="H276" s="2"/>
      <c r="I276" s="2"/>
      <c r="J276" s="2"/>
      <c r="K276" s="12"/>
      <c r="L276" s="13"/>
      <c r="M276" s="2"/>
      <c r="N276" s="43"/>
      <c r="O276" s="36"/>
      <c r="P276" s="9"/>
      <c r="Q276" s="5"/>
      <c r="R276" s="2"/>
      <c r="S276"/>
      <c r="T276"/>
      <c r="U276" s="1"/>
      <c r="V276"/>
      <c r="W276"/>
      <c r="X276"/>
      <c r="Y276"/>
      <c r="Z276"/>
      <c r="AA276" s="35"/>
      <c r="AB276" s="35"/>
    </row>
    <row r="277" spans="1:28" s="42" customFormat="1">
      <c r="A277" s="2"/>
      <c r="C277" s="36"/>
      <c r="D277" s="62"/>
      <c r="E277" s="2"/>
      <c r="F277" s="95"/>
      <c r="G277" s="13"/>
      <c r="H277" s="2"/>
      <c r="I277" s="2"/>
      <c r="J277" s="2"/>
      <c r="K277" s="12"/>
      <c r="L277" s="13"/>
      <c r="M277" s="2"/>
      <c r="N277" s="43"/>
      <c r="O277" s="36"/>
      <c r="P277" s="9"/>
      <c r="Q277" s="5"/>
      <c r="R277" s="2"/>
      <c r="S277"/>
      <c r="T277"/>
      <c r="U277" s="1"/>
      <c r="V277"/>
      <c r="W277"/>
      <c r="X277"/>
      <c r="Y277"/>
      <c r="Z277"/>
      <c r="AA277" s="35"/>
      <c r="AB277" s="35"/>
    </row>
    <row r="278" spans="1:28" s="42" customFormat="1">
      <c r="A278" s="2"/>
      <c r="C278" s="36"/>
      <c r="D278" s="62"/>
      <c r="E278" s="2"/>
      <c r="F278" s="95"/>
      <c r="G278" s="13"/>
      <c r="H278" s="2"/>
      <c r="I278" s="2"/>
      <c r="J278" s="2"/>
      <c r="K278" s="12"/>
      <c r="L278" s="13"/>
      <c r="M278" s="2"/>
      <c r="N278" s="43"/>
      <c r="O278" s="36"/>
      <c r="P278" s="9"/>
      <c r="Q278" s="5"/>
      <c r="R278" s="2"/>
      <c r="S278"/>
      <c r="T278"/>
      <c r="U278" s="1"/>
      <c r="V278"/>
      <c r="W278"/>
      <c r="X278"/>
      <c r="Y278"/>
      <c r="Z278"/>
      <c r="AA278" s="35"/>
      <c r="AB278" s="35"/>
    </row>
    <row r="279" spans="1:28" s="42" customFormat="1">
      <c r="A279" s="2"/>
      <c r="C279" s="36"/>
      <c r="D279" s="62"/>
      <c r="E279" s="2"/>
      <c r="F279" s="95"/>
      <c r="G279" s="13"/>
      <c r="H279" s="2"/>
      <c r="I279" s="2"/>
      <c r="J279" s="2"/>
      <c r="K279" s="12"/>
      <c r="L279" s="13"/>
      <c r="M279" s="2"/>
      <c r="N279" s="43"/>
      <c r="O279" s="36"/>
      <c r="P279" s="9"/>
      <c r="Q279" s="5"/>
      <c r="R279" s="2"/>
      <c r="S279"/>
      <c r="T279"/>
      <c r="U279" s="1"/>
      <c r="V279"/>
      <c r="W279"/>
      <c r="X279"/>
      <c r="Y279"/>
      <c r="Z279"/>
      <c r="AA279" s="35"/>
      <c r="AB279" s="35"/>
    </row>
    <row r="280" spans="1:28" s="42" customFormat="1">
      <c r="A280" s="2"/>
      <c r="C280" s="36"/>
      <c r="D280" s="62"/>
      <c r="E280" s="2"/>
      <c r="F280" s="95"/>
      <c r="G280" s="13"/>
      <c r="H280" s="2"/>
      <c r="I280" s="2"/>
      <c r="J280" s="2"/>
      <c r="K280" s="12"/>
      <c r="L280" s="13"/>
      <c r="M280" s="2"/>
      <c r="N280" s="43"/>
      <c r="O280" s="36"/>
      <c r="P280" s="9"/>
      <c r="Q280" s="5"/>
      <c r="R280" s="2"/>
      <c r="S280"/>
      <c r="T280"/>
      <c r="U280" s="1"/>
      <c r="V280"/>
      <c r="W280"/>
      <c r="X280"/>
      <c r="Y280"/>
      <c r="Z280"/>
      <c r="AA280" s="35"/>
      <c r="AB280" s="35"/>
    </row>
    <row r="281" spans="1:28" s="42" customFormat="1">
      <c r="A281" s="2"/>
      <c r="C281" s="36"/>
      <c r="D281" s="62"/>
      <c r="E281" s="2"/>
      <c r="F281" s="95"/>
      <c r="G281" s="13"/>
      <c r="H281" s="2"/>
      <c r="I281" s="2"/>
      <c r="J281" s="2"/>
      <c r="K281" s="12"/>
      <c r="L281" s="13"/>
      <c r="M281" s="2"/>
      <c r="N281" s="43"/>
      <c r="O281" s="36"/>
      <c r="P281" s="9"/>
      <c r="Q281" s="5"/>
      <c r="R281" s="2"/>
      <c r="S281"/>
      <c r="T281"/>
      <c r="U281" s="1"/>
      <c r="V281"/>
      <c r="W281"/>
      <c r="X281"/>
      <c r="Y281"/>
      <c r="Z281"/>
      <c r="AA281" s="35"/>
      <c r="AB281" s="35"/>
    </row>
    <row r="282" spans="1:28" s="42" customFormat="1">
      <c r="A282" s="2"/>
      <c r="C282" s="36"/>
      <c r="D282" s="62"/>
      <c r="E282" s="2"/>
      <c r="F282" s="95"/>
      <c r="G282" s="13"/>
      <c r="H282" s="2"/>
      <c r="I282" s="2"/>
      <c r="J282" s="2"/>
      <c r="K282" s="12"/>
      <c r="L282" s="13"/>
      <c r="M282" s="2"/>
      <c r="N282" s="43"/>
      <c r="O282" s="36"/>
      <c r="P282" s="9"/>
      <c r="Q282" s="5"/>
      <c r="R282" s="2"/>
      <c r="S282"/>
      <c r="T282"/>
      <c r="U282" s="1"/>
      <c r="V282"/>
      <c r="W282"/>
      <c r="X282"/>
      <c r="Y282"/>
      <c r="Z282"/>
      <c r="AA282" s="35"/>
      <c r="AB282" s="35"/>
    </row>
    <row r="283" spans="1:28" s="42" customFormat="1">
      <c r="A283" s="2"/>
      <c r="C283" s="36"/>
      <c r="D283" s="62"/>
      <c r="E283" s="2"/>
      <c r="F283" s="95"/>
      <c r="G283" s="13"/>
      <c r="H283" s="2"/>
      <c r="I283" s="2"/>
      <c r="J283" s="2"/>
      <c r="K283" s="12"/>
      <c r="L283" s="13"/>
      <c r="M283" s="2"/>
      <c r="N283" s="43"/>
      <c r="O283" s="36"/>
      <c r="P283" s="9"/>
      <c r="Q283" s="5"/>
      <c r="R283" s="2"/>
      <c r="S283"/>
      <c r="T283"/>
      <c r="U283" s="1"/>
      <c r="V283"/>
      <c r="W283"/>
      <c r="X283"/>
      <c r="Y283"/>
      <c r="Z283"/>
      <c r="AA283" s="35"/>
      <c r="AB283" s="35"/>
    </row>
    <row r="284" spans="1:28" s="42" customFormat="1">
      <c r="A284" s="2"/>
      <c r="C284" s="36"/>
      <c r="D284" s="62"/>
      <c r="E284" s="2"/>
      <c r="F284" s="95"/>
      <c r="G284" s="13"/>
      <c r="H284" s="2"/>
      <c r="I284" s="2"/>
      <c r="J284" s="2"/>
      <c r="K284" s="12"/>
      <c r="L284" s="13"/>
      <c r="M284" s="2"/>
      <c r="N284" s="43"/>
      <c r="O284" s="36"/>
      <c r="P284" s="9"/>
      <c r="Q284" s="5"/>
      <c r="R284" s="2"/>
      <c r="S284"/>
      <c r="T284"/>
      <c r="U284" s="1"/>
      <c r="V284"/>
      <c r="W284"/>
      <c r="X284"/>
      <c r="Y284"/>
      <c r="Z284"/>
      <c r="AA284" s="35"/>
      <c r="AB284" s="35"/>
    </row>
    <row r="285" spans="1:28" s="42" customFormat="1">
      <c r="A285" s="2"/>
      <c r="C285" s="36"/>
      <c r="D285" s="62"/>
      <c r="E285" s="2"/>
      <c r="F285" s="95"/>
      <c r="G285" s="13"/>
      <c r="H285" s="2"/>
      <c r="I285" s="2"/>
      <c r="J285" s="2"/>
      <c r="K285" s="12"/>
      <c r="L285" s="13"/>
      <c r="M285" s="2"/>
      <c r="N285" s="43"/>
      <c r="O285" s="36"/>
      <c r="P285" s="9"/>
      <c r="Q285" s="5"/>
      <c r="R285" s="2"/>
      <c r="S285"/>
      <c r="T285"/>
      <c r="U285" s="1"/>
      <c r="V285"/>
      <c r="W285"/>
      <c r="X285"/>
      <c r="Y285"/>
      <c r="Z285"/>
      <c r="AA285" s="35"/>
      <c r="AB285" s="35"/>
    </row>
    <row r="286" spans="1:28" s="42" customFormat="1">
      <c r="A286" s="2"/>
      <c r="C286" s="36"/>
      <c r="D286" s="62"/>
      <c r="E286" s="2"/>
      <c r="F286" s="95"/>
      <c r="G286" s="13"/>
      <c r="H286" s="2"/>
      <c r="I286" s="2"/>
      <c r="J286" s="2"/>
      <c r="K286" s="12"/>
      <c r="L286" s="13"/>
      <c r="M286" s="2"/>
      <c r="N286" s="43"/>
      <c r="O286" s="36"/>
      <c r="P286" s="9"/>
      <c r="Q286" s="5"/>
      <c r="R286" s="2"/>
      <c r="S286"/>
      <c r="T286"/>
      <c r="U286" s="1"/>
      <c r="V286"/>
      <c r="W286"/>
      <c r="X286"/>
      <c r="Y286"/>
      <c r="Z286"/>
      <c r="AA286" s="35"/>
      <c r="AB286" s="35"/>
    </row>
    <row r="287" spans="1:28" s="42" customFormat="1">
      <c r="A287" s="2"/>
      <c r="C287" s="36"/>
      <c r="D287" s="62"/>
      <c r="E287" s="2"/>
      <c r="F287" s="95"/>
      <c r="G287" s="13"/>
      <c r="H287" s="2"/>
      <c r="I287" s="2"/>
      <c r="J287" s="2"/>
      <c r="K287" s="12"/>
      <c r="L287" s="13"/>
      <c r="M287" s="2"/>
      <c r="N287" s="43"/>
      <c r="O287" s="36"/>
      <c r="P287" s="9"/>
      <c r="Q287" s="5"/>
      <c r="R287" s="2"/>
      <c r="S287"/>
      <c r="T287"/>
      <c r="U287" s="1"/>
      <c r="V287"/>
      <c r="W287"/>
      <c r="X287"/>
      <c r="Y287"/>
      <c r="Z287"/>
      <c r="AA287" s="35"/>
      <c r="AB287" s="35"/>
    </row>
    <row r="288" spans="1:28" s="42" customFormat="1">
      <c r="A288" s="2"/>
      <c r="C288" s="36"/>
      <c r="D288" s="62"/>
      <c r="E288" s="2"/>
      <c r="F288" s="95"/>
      <c r="G288" s="13"/>
      <c r="H288" s="2"/>
      <c r="I288" s="2"/>
      <c r="J288" s="2"/>
      <c r="K288" s="12"/>
      <c r="L288" s="13"/>
      <c r="M288" s="2"/>
      <c r="N288" s="43"/>
      <c r="O288" s="36"/>
      <c r="P288" s="9"/>
      <c r="Q288" s="5"/>
      <c r="R288" s="2"/>
      <c r="S288"/>
      <c r="T288"/>
      <c r="U288" s="1"/>
      <c r="V288"/>
      <c r="W288"/>
      <c r="X288"/>
      <c r="Y288"/>
      <c r="Z288"/>
      <c r="AA288" s="35"/>
      <c r="AB288" s="35"/>
    </row>
    <row r="289" spans="1:28" s="42" customFormat="1">
      <c r="A289" s="2"/>
      <c r="C289" s="36"/>
      <c r="D289" s="62"/>
      <c r="E289" s="2"/>
      <c r="F289" s="95"/>
      <c r="G289" s="13"/>
      <c r="H289" s="2"/>
      <c r="I289" s="2"/>
      <c r="J289" s="2"/>
      <c r="K289" s="12"/>
      <c r="L289" s="13"/>
      <c r="M289" s="2"/>
      <c r="N289" s="43"/>
      <c r="O289" s="36"/>
      <c r="P289" s="9"/>
      <c r="Q289" s="5"/>
      <c r="R289" s="2"/>
      <c r="S289"/>
      <c r="T289"/>
      <c r="U289" s="1"/>
      <c r="V289"/>
      <c r="W289"/>
      <c r="X289"/>
      <c r="Y289"/>
      <c r="Z289"/>
      <c r="AA289" s="35"/>
      <c r="AB289" s="35"/>
    </row>
    <row r="290" spans="1:28" s="42" customFormat="1">
      <c r="A290" s="2"/>
      <c r="C290" s="36"/>
      <c r="D290" s="62"/>
      <c r="E290" s="2"/>
      <c r="F290" s="95"/>
      <c r="G290" s="13"/>
      <c r="H290" s="2"/>
      <c r="I290" s="2"/>
      <c r="J290" s="2"/>
      <c r="K290" s="12"/>
      <c r="L290" s="13"/>
      <c r="M290" s="2"/>
      <c r="N290" s="43"/>
      <c r="O290" s="36"/>
      <c r="P290" s="9"/>
      <c r="Q290" s="5"/>
      <c r="R290" s="2"/>
      <c r="S290"/>
      <c r="T290"/>
      <c r="U290" s="1"/>
      <c r="V290"/>
      <c r="W290"/>
      <c r="X290"/>
      <c r="Y290"/>
      <c r="Z290"/>
      <c r="AA290" s="35"/>
      <c r="AB290" s="35"/>
    </row>
    <row r="291" spans="1:28" s="42" customFormat="1">
      <c r="A291" s="2"/>
      <c r="C291" s="36"/>
      <c r="D291" s="62"/>
      <c r="E291" s="2"/>
      <c r="F291" s="95"/>
      <c r="G291" s="13"/>
      <c r="H291" s="2"/>
      <c r="I291" s="2"/>
      <c r="J291" s="2"/>
      <c r="K291" s="12"/>
      <c r="L291" s="13"/>
      <c r="M291" s="2"/>
      <c r="N291" s="43"/>
      <c r="O291" s="36"/>
      <c r="P291" s="9"/>
      <c r="Q291" s="5"/>
      <c r="R291" s="2"/>
      <c r="S291"/>
      <c r="T291"/>
      <c r="U291" s="1"/>
      <c r="V291"/>
      <c r="W291"/>
      <c r="X291"/>
      <c r="Y291"/>
      <c r="Z291"/>
      <c r="AA291" s="35"/>
      <c r="AB291" s="35"/>
    </row>
    <row r="292" spans="1:28" s="42" customFormat="1">
      <c r="A292" s="2"/>
      <c r="C292" s="36"/>
      <c r="D292" s="62"/>
      <c r="E292" s="2"/>
      <c r="F292" s="95"/>
      <c r="G292" s="13"/>
      <c r="H292" s="2"/>
      <c r="I292" s="2"/>
      <c r="J292" s="2"/>
      <c r="K292" s="12"/>
      <c r="L292" s="13"/>
      <c r="M292" s="2"/>
      <c r="N292" s="43"/>
      <c r="O292" s="36"/>
      <c r="P292" s="9"/>
      <c r="Q292" s="5"/>
      <c r="R292" s="2"/>
      <c r="S292"/>
      <c r="T292"/>
      <c r="U292" s="1"/>
      <c r="V292"/>
      <c r="W292"/>
      <c r="X292"/>
      <c r="Y292"/>
      <c r="Z292"/>
      <c r="AA292" s="35"/>
      <c r="AB292" s="35"/>
    </row>
    <row r="293" spans="1:28" s="42" customFormat="1">
      <c r="A293" s="2"/>
      <c r="C293" s="36"/>
      <c r="D293" s="62"/>
      <c r="E293" s="2"/>
      <c r="F293" s="95"/>
      <c r="G293" s="13"/>
      <c r="H293" s="2"/>
      <c r="I293" s="2"/>
      <c r="J293" s="2"/>
      <c r="K293" s="12"/>
      <c r="L293" s="13"/>
      <c r="M293" s="2"/>
      <c r="N293" s="43"/>
      <c r="O293" s="36"/>
      <c r="P293" s="9"/>
      <c r="Q293" s="5"/>
      <c r="R293" s="2"/>
      <c r="S293"/>
      <c r="T293"/>
      <c r="U293" s="1"/>
      <c r="V293"/>
      <c r="W293"/>
      <c r="X293"/>
      <c r="Y293"/>
      <c r="Z293"/>
      <c r="AA293" s="35"/>
      <c r="AB293" s="35"/>
    </row>
    <row r="294" spans="1:28" s="42" customFormat="1">
      <c r="A294" s="2"/>
      <c r="C294" s="36"/>
      <c r="D294" s="62"/>
      <c r="E294" s="2"/>
      <c r="F294" s="95"/>
      <c r="G294" s="13"/>
      <c r="H294" s="2"/>
      <c r="I294" s="2"/>
      <c r="J294" s="2"/>
      <c r="K294" s="12"/>
      <c r="L294" s="13"/>
      <c r="M294" s="2"/>
      <c r="N294" s="43"/>
      <c r="O294" s="36"/>
      <c r="P294" s="9"/>
      <c r="Q294" s="5"/>
      <c r="R294" s="2"/>
      <c r="S294"/>
      <c r="T294"/>
      <c r="U294" s="1"/>
      <c r="V294"/>
      <c r="W294"/>
      <c r="X294"/>
      <c r="Y294"/>
      <c r="Z294"/>
      <c r="AA294" s="35"/>
      <c r="AB294" s="35"/>
    </row>
    <row r="295" spans="1:28" s="42" customFormat="1">
      <c r="A295" s="2"/>
      <c r="C295" s="36"/>
      <c r="D295" s="62"/>
      <c r="E295" s="2"/>
      <c r="F295" s="95"/>
      <c r="G295" s="13"/>
      <c r="H295" s="2"/>
      <c r="I295" s="2"/>
      <c r="J295" s="2"/>
      <c r="K295" s="12"/>
      <c r="L295" s="13"/>
      <c r="M295" s="2"/>
      <c r="N295" s="43"/>
      <c r="O295" s="36"/>
      <c r="P295" s="9"/>
      <c r="Q295" s="5"/>
      <c r="R295" s="2"/>
      <c r="S295"/>
      <c r="T295"/>
      <c r="U295" s="1"/>
      <c r="V295"/>
      <c r="W295"/>
      <c r="X295"/>
      <c r="Y295"/>
      <c r="Z295"/>
      <c r="AA295" s="35"/>
      <c r="AB295" s="35"/>
    </row>
    <row r="296" spans="1:28" s="42" customFormat="1">
      <c r="A296" s="2"/>
      <c r="C296" s="36"/>
      <c r="D296" s="62"/>
      <c r="E296" s="2"/>
      <c r="F296" s="95"/>
      <c r="G296" s="13"/>
      <c r="H296" s="2"/>
      <c r="I296" s="2"/>
      <c r="J296" s="2"/>
      <c r="K296" s="12"/>
      <c r="L296" s="13"/>
      <c r="M296" s="2"/>
      <c r="N296" s="43"/>
      <c r="O296" s="36"/>
      <c r="P296" s="9"/>
      <c r="Q296" s="5"/>
      <c r="R296" s="2"/>
      <c r="S296"/>
      <c r="T296"/>
      <c r="U296" s="1"/>
      <c r="V296"/>
      <c r="W296"/>
      <c r="X296"/>
      <c r="Y296"/>
      <c r="Z296"/>
      <c r="AA296" s="35"/>
      <c r="AB296" s="35"/>
    </row>
    <row r="297" spans="1:28" s="42" customFormat="1">
      <c r="A297" s="2"/>
      <c r="C297" s="36"/>
      <c r="D297" s="62"/>
      <c r="E297" s="2"/>
      <c r="F297" s="95"/>
      <c r="G297" s="13"/>
      <c r="H297" s="2"/>
      <c r="I297" s="2"/>
      <c r="J297" s="2"/>
      <c r="K297" s="12"/>
      <c r="L297" s="13"/>
      <c r="M297" s="2"/>
      <c r="N297" s="43"/>
      <c r="O297" s="36"/>
      <c r="P297" s="9"/>
      <c r="Q297" s="5"/>
      <c r="R297" s="2"/>
      <c r="S297"/>
      <c r="T297"/>
      <c r="U297" s="1"/>
      <c r="V297"/>
      <c r="W297"/>
      <c r="X297"/>
      <c r="Y297"/>
      <c r="Z297"/>
      <c r="AA297" s="35"/>
      <c r="AB297" s="35"/>
    </row>
    <row r="298" spans="1:28" s="42" customFormat="1">
      <c r="A298" s="2"/>
      <c r="C298" s="36"/>
      <c r="D298" s="62"/>
      <c r="E298" s="2"/>
      <c r="F298" s="95"/>
      <c r="G298" s="13"/>
      <c r="H298" s="2"/>
      <c r="I298" s="2"/>
      <c r="J298" s="2"/>
      <c r="K298" s="12"/>
      <c r="L298" s="13"/>
      <c r="M298" s="2"/>
      <c r="N298" s="43"/>
      <c r="O298" s="36"/>
      <c r="P298" s="9"/>
      <c r="Q298" s="5"/>
      <c r="R298" s="2"/>
      <c r="S298"/>
      <c r="T298"/>
      <c r="U298" s="1"/>
      <c r="V298"/>
      <c r="W298"/>
      <c r="X298"/>
      <c r="Y298"/>
      <c r="Z298"/>
      <c r="AA298" s="35"/>
      <c r="AB298" s="35"/>
    </row>
    <row r="299" spans="1:28" s="42" customFormat="1">
      <c r="A299" s="2"/>
      <c r="C299" s="36"/>
      <c r="D299" s="62"/>
      <c r="E299" s="2"/>
      <c r="F299" s="95"/>
      <c r="G299" s="13"/>
      <c r="H299" s="2"/>
      <c r="I299" s="2"/>
      <c r="J299" s="2"/>
      <c r="K299" s="12"/>
      <c r="L299" s="13"/>
      <c r="M299" s="2"/>
      <c r="N299" s="43"/>
      <c r="O299" s="36"/>
      <c r="P299" s="9"/>
      <c r="Q299" s="5"/>
      <c r="R299" s="2"/>
      <c r="S299"/>
      <c r="T299"/>
      <c r="U299" s="1"/>
      <c r="V299"/>
      <c r="W299"/>
      <c r="X299"/>
      <c r="Y299"/>
      <c r="Z299"/>
      <c r="AA299" s="35"/>
      <c r="AB299" s="35"/>
    </row>
    <row r="300" spans="1:28" s="42" customFormat="1">
      <c r="A300" s="2"/>
      <c r="C300" s="36"/>
      <c r="D300" s="62"/>
      <c r="E300" s="2"/>
      <c r="F300" s="95"/>
      <c r="G300" s="13"/>
      <c r="H300" s="2"/>
      <c r="I300" s="2"/>
      <c r="J300" s="2"/>
      <c r="K300" s="12"/>
      <c r="L300" s="13"/>
      <c r="M300" s="2"/>
      <c r="N300" s="43"/>
      <c r="O300" s="36"/>
      <c r="P300" s="9"/>
      <c r="Q300" s="5"/>
      <c r="R300" s="2"/>
      <c r="S300"/>
      <c r="T300"/>
      <c r="U300" s="1"/>
      <c r="V300"/>
      <c r="W300"/>
      <c r="X300"/>
      <c r="Y300"/>
      <c r="Z300"/>
      <c r="AA300" s="35"/>
      <c r="AB300" s="35"/>
    </row>
    <row r="301" spans="1:28" s="42" customFormat="1">
      <c r="A301" s="2"/>
      <c r="C301" s="36"/>
      <c r="D301" s="62"/>
      <c r="E301" s="2"/>
      <c r="F301" s="95"/>
      <c r="G301" s="13"/>
      <c r="H301" s="2"/>
      <c r="I301" s="2"/>
      <c r="J301" s="2"/>
      <c r="K301" s="12"/>
      <c r="L301" s="13"/>
      <c r="M301" s="2"/>
      <c r="N301" s="43"/>
      <c r="O301" s="36"/>
      <c r="P301" s="9"/>
      <c r="Q301" s="5"/>
      <c r="R301" s="2"/>
      <c r="S301"/>
      <c r="T301"/>
      <c r="U301" s="1"/>
      <c r="V301"/>
      <c r="W301"/>
      <c r="X301"/>
      <c r="Y301"/>
      <c r="Z301"/>
      <c r="AA301" s="35"/>
      <c r="AB301" s="35"/>
    </row>
    <row r="302" spans="1:28" s="42" customFormat="1">
      <c r="A302" s="2"/>
      <c r="C302" s="36"/>
      <c r="D302" s="62"/>
      <c r="E302" s="2"/>
      <c r="F302" s="95"/>
      <c r="G302" s="13"/>
      <c r="H302" s="2"/>
      <c r="I302" s="2"/>
      <c r="J302" s="2"/>
      <c r="K302" s="12"/>
      <c r="L302" s="13"/>
      <c r="M302" s="2"/>
      <c r="N302" s="43"/>
      <c r="O302" s="36"/>
      <c r="P302" s="9"/>
      <c r="Q302" s="5"/>
      <c r="R302" s="2"/>
      <c r="S302"/>
      <c r="T302"/>
      <c r="U302" s="1"/>
      <c r="V302"/>
      <c r="W302"/>
      <c r="X302"/>
      <c r="Y302"/>
      <c r="Z302"/>
      <c r="AA302" s="35"/>
      <c r="AB302" s="35"/>
    </row>
    <row r="303" spans="1:28" s="42" customFormat="1">
      <c r="A303" s="2"/>
      <c r="C303" s="36"/>
      <c r="D303" s="62"/>
      <c r="E303" s="2"/>
      <c r="F303" s="95"/>
      <c r="G303" s="13"/>
      <c r="H303" s="2"/>
      <c r="I303" s="2"/>
      <c r="J303" s="2"/>
      <c r="K303" s="12"/>
      <c r="L303" s="13"/>
      <c r="M303" s="2"/>
      <c r="N303" s="43"/>
      <c r="O303" s="36"/>
      <c r="P303" s="9"/>
      <c r="Q303" s="5"/>
      <c r="R303" s="2"/>
      <c r="S303"/>
      <c r="T303"/>
      <c r="U303" s="1"/>
      <c r="V303"/>
      <c r="W303"/>
      <c r="X303"/>
      <c r="Y303"/>
      <c r="Z303"/>
      <c r="AA303" s="35"/>
      <c r="AB303" s="35"/>
    </row>
    <row r="304" spans="1:28" s="42" customFormat="1">
      <c r="A304" s="2"/>
      <c r="C304" s="36"/>
      <c r="D304" s="62"/>
      <c r="E304" s="2"/>
      <c r="F304" s="95"/>
      <c r="G304" s="13"/>
      <c r="H304" s="2"/>
      <c r="I304" s="2"/>
      <c r="J304" s="2"/>
      <c r="K304" s="12"/>
      <c r="L304" s="13"/>
      <c r="M304" s="2"/>
      <c r="N304" s="43"/>
      <c r="O304" s="36"/>
      <c r="P304" s="9"/>
      <c r="Q304" s="5"/>
      <c r="R304" s="2"/>
      <c r="S304"/>
      <c r="T304"/>
      <c r="U304" s="1"/>
      <c r="V304"/>
      <c r="W304"/>
      <c r="X304"/>
      <c r="Y304"/>
      <c r="Z304"/>
      <c r="AA304" s="35"/>
      <c r="AB304" s="35"/>
    </row>
    <row r="305" spans="1:28" s="42" customFormat="1">
      <c r="A305" s="2"/>
      <c r="C305" s="36"/>
      <c r="D305" s="62"/>
      <c r="E305" s="2"/>
      <c r="F305" s="95"/>
      <c r="G305" s="13"/>
      <c r="H305" s="2"/>
      <c r="I305" s="2"/>
      <c r="J305" s="2"/>
      <c r="K305" s="12"/>
      <c r="L305" s="13"/>
      <c r="M305" s="2"/>
      <c r="N305" s="43"/>
      <c r="O305" s="36"/>
      <c r="P305" s="9"/>
      <c r="Q305" s="5"/>
      <c r="R305" s="2"/>
      <c r="S305"/>
      <c r="T305"/>
      <c r="U305" s="1"/>
      <c r="V305"/>
      <c r="W305"/>
      <c r="X305"/>
      <c r="Y305"/>
      <c r="Z305"/>
      <c r="AA305" s="35"/>
      <c r="AB305" s="35"/>
    </row>
    <row r="306" spans="1:28" s="42" customFormat="1">
      <c r="A306" s="2"/>
      <c r="C306" s="36"/>
      <c r="D306" s="62"/>
      <c r="E306" s="2"/>
      <c r="F306" s="95"/>
      <c r="G306" s="13"/>
      <c r="H306" s="2"/>
      <c r="I306" s="2"/>
      <c r="J306" s="2"/>
      <c r="K306" s="12"/>
      <c r="L306" s="13"/>
      <c r="M306" s="2"/>
      <c r="N306" s="43"/>
      <c r="O306" s="36"/>
      <c r="P306" s="9"/>
      <c r="Q306" s="5"/>
      <c r="R306" s="2"/>
      <c r="S306"/>
      <c r="T306"/>
      <c r="U306" s="1"/>
      <c r="V306"/>
      <c r="W306"/>
      <c r="X306"/>
      <c r="Y306"/>
      <c r="Z306"/>
      <c r="AA306" s="35"/>
      <c r="AB306" s="35"/>
    </row>
    <row r="307" spans="1:28" s="42" customFormat="1">
      <c r="A307" s="2"/>
      <c r="C307" s="36"/>
      <c r="D307" s="62"/>
      <c r="E307" s="2"/>
      <c r="F307" s="95"/>
      <c r="G307" s="13"/>
      <c r="H307" s="2"/>
      <c r="I307" s="2"/>
      <c r="J307" s="2"/>
      <c r="K307" s="12"/>
      <c r="L307" s="13"/>
      <c r="M307" s="2"/>
      <c r="N307" s="43"/>
      <c r="O307" s="36"/>
      <c r="P307" s="9"/>
      <c r="Q307" s="5"/>
      <c r="R307" s="2"/>
      <c r="S307"/>
      <c r="T307"/>
      <c r="U307" s="1"/>
      <c r="V307"/>
      <c r="W307"/>
      <c r="X307"/>
      <c r="Y307"/>
      <c r="Z307"/>
      <c r="AA307" s="35"/>
      <c r="AB307" s="35"/>
    </row>
    <row r="308" spans="1:28" s="42" customFormat="1">
      <c r="A308" s="2"/>
      <c r="C308" s="36"/>
      <c r="D308" s="62"/>
      <c r="E308" s="2"/>
      <c r="F308" s="95"/>
      <c r="G308" s="13"/>
      <c r="H308" s="2"/>
      <c r="I308" s="2"/>
      <c r="J308" s="2"/>
      <c r="K308" s="12"/>
      <c r="L308" s="13"/>
      <c r="M308" s="2"/>
      <c r="N308" s="43"/>
      <c r="O308" s="36"/>
      <c r="P308" s="9"/>
      <c r="Q308" s="5"/>
      <c r="R308" s="2"/>
      <c r="S308"/>
      <c r="T308"/>
      <c r="U308" s="1"/>
      <c r="V308"/>
      <c r="W308"/>
      <c r="X308"/>
      <c r="Y308"/>
      <c r="Z308"/>
      <c r="AA308" s="35"/>
      <c r="AB308" s="35"/>
    </row>
    <row r="309" spans="1:28" s="42" customFormat="1">
      <c r="A309" s="2"/>
      <c r="C309" s="36"/>
      <c r="D309" s="62"/>
      <c r="E309" s="2"/>
      <c r="F309" s="95"/>
      <c r="G309" s="13"/>
      <c r="H309" s="2"/>
      <c r="I309" s="2"/>
      <c r="J309" s="2"/>
      <c r="K309" s="12"/>
      <c r="L309" s="13"/>
      <c r="M309" s="2"/>
      <c r="N309" s="43"/>
      <c r="O309" s="36"/>
      <c r="P309" s="9"/>
      <c r="Q309" s="5"/>
      <c r="R309" s="2"/>
      <c r="S309"/>
      <c r="T309"/>
      <c r="U309" s="1"/>
      <c r="V309"/>
      <c r="W309"/>
      <c r="X309"/>
      <c r="Y309"/>
      <c r="Z309"/>
      <c r="AA309" s="35"/>
      <c r="AB309" s="35"/>
    </row>
    <row r="310" spans="1:28" s="42" customFormat="1">
      <c r="A310" s="2"/>
      <c r="C310" s="36"/>
      <c r="D310" s="62"/>
      <c r="E310" s="2"/>
      <c r="F310" s="95"/>
      <c r="G310" s="13"/>
      <c r="H310" s="2"/>
      <c r="I310" s="2"/>
      <c r="J310" s="2"/>
      <c r="K310" s="12"/>
      <c r="L310" s="13"/>
      <c r="M310" s="2"/>
      <c r="N310" s="43"/>
      <c r="O310" s="36"/>
      <c r="P310" s="9"/>
      <c r="Q310" s="5"/>
      <c r="R310" s="2"/>
      <c r="S310"/>
      <c r="T310"/>
      <c r="U310" s="1"/>
      <c r="V310"/>
      <c r="W310"/>
      <c r="X310"/>
      <c r="Y310"/>
      <c r="Z310"/>
      <c r="AA310" s="35"/>
      <c r="AB310" s="35"/>
    </row>
    <row r="311" spans="1:28" s="42" customFormat="1">
      <c r="A311" s="2"/>
      <c r="C311" s="36"/>
      <c r="D311" s="62"/>
      <c r="E311" s="2"/>
      <c r="F311" s="95"/>
      <c r="G311" s="13"/>
      <c r="H311" s="2"/>
      <c r="I311" s="2"/>
      <c r="J311" s="2"/>
      <c r="K311" s="12"/>
      <c r="L311" s="13"/>
      <c r="M311" s="2"/>
      <c r="N311" s="43"/>
      <c r="O311" s="36"/>
      <c r="P311" s="9"/>
      <c r="Q311" s="5"/>
      <c r="R311" s="2"/>
      <c r="S311"/>
      <c r="T311"/>
      <c r="U311" s="1"/>
      <c r="V311"/>
      <c r="W311"/>
      <c r="X311"/>
      <c r="Y311"/>
      <c r="Z311"/>
      <c r="AA311" s="35"/>
      <c r="AB311" s="35"/>
    </row>
    <row r="312" spans="1:28" s="42" customFormat="1">
      <c r="A312" s="2"/>
      <c r="C312" s="36"/>
      <c r="D312" s="62"/>
      <c r="E312" s="2"/>
      <c r="F312" s="95"/>
      <c r="G312" s="13"/>
      <c r="H312" s="2"/>
      <c r="I312" s="2"/>
      <c r="J312" s="2"/>
      <c r="K312" s="12"/>
      <c r="L312" s="13"/>
      <c r="M312" s="2"/>
      <c r="N312" s="43"/>
      <c r="O312" s="36"/>
      <c r="P312" s="9"/>
      <c r="Q312" s="5"/>
      <c r="R312" s="2"/>
      <c r="S312"/>
      <c r="T312"/>
      <c r="U312" s="1"/>
      <c r="V312"/>
      <c r="W312"/>
      <c r="X312"/>
      <c r="Y312"/>
      <c r="Z312"/>
      <c r="AA312" s="35"/>
      <c r="AB312" s="35"/>
    </row>
    <row r="313" spans="1:28" s="42" customFormat="1">
      <c r="A313" s="2"/>
      <c r="C313" s="36"/>
      <c r="D313" s="62"/>
      <c r="E313" s="2"/>
      <c r="F313" s="95"/>
      <c r="G313" s="13"/>
      <c r="H313" s="2"/>
      <c r="I313" s="2"/>
      <c r="J313" s="2"/>
      <c r="K313" s="12"/>
      <c r="L313" s="13"/>
      <c r="M313" s="2"/>
      <c r="N313" s="43"/>
      <c r="O313" s="36"/>
      <c r="P313" s="9"/>
      <c r="Q313" s="5"/>
      <c r="R313" s="2"/>
      <c r="S313"/>
      <c r="T313"/>
      <c r="U313" s="1"/>
      <c r="V313"/>
      <c r="W313"/>
      <c r="X313"/>
      <c r="Y313"/>
      <c r="Z313"/>
      <c r="AA313" s="35"/>
      <c r="AB313" s="35"/>
    </row>
    <row r="314" spans="1:28" s="42" customFormat="1">
      <c r="A314" s="2"/>
      <c r="C314" s="36"/>
      <c r="D314" s="62"/>
      <c r="E314" s="2"/>
      <c r="F314" s="95"/>
      <c r="G314" s="13"/>
      <c r="H314" s="2"/>
      <c r="I314" s="2"/>
      <c r="J314" s="2"/>
      <c r="K314" s="12"/>
      <c r="L314" s="13"/>
      <c r="M314" s="2"/>
      <c r="N314" s="43"/>
      <c r="O314" s="36"/>
      <c r="P314" s="9"/>
      <c r="Q314" s="5"/>
      <c r="R314" s="2"/>
      <c r="S314"/>
      <c r="T314"/>
      <c r="U314" s="1"/>
      <c r="V314"/>
      <c r="W314"/>
      <c r="X314"/>
      <c r="Y314"/>
      <c r="Z314"/>
      <c r="AA314" s="35"/>
      <c r="AB314" s="35"/>
    </row>
    <row r="315" spans="1:28" s="42" customFormat="1">
      <c r="A315" s="2"/>
      <c r="C315" s="36"/>
      <c r="D315" s="62"/>
      <c r="E315" s="2"/>
      <c r="F315" s="95"/>
      <c r="G315" s="13"/>
      <c r="H315" s="2"/>
      <c r="I315" s="2"/>
      <c r="J315" s="2"/>
      <c r="K315" s="12"/>
      <c r="L315" s="13"/>
      <c r="M315" s="2"/>
      <c r="N315" s="43"/>
      <c r="O315" s="36"/>
      <c r="P315" s="9"/>
      <c r="Q315" s="5"/>
      <c r="R315" s="2"/>
      <c r="S315"/>
      <c r="T315"/>
      <c r="U315" s="1"/>
      <c r="V315"/>
      <c r="W315"/>
      <c r="X315"/>
      <c r="Y315"/>
      <c r="Z315"/>
      <c r="AA315" s="35"/>
      <c r="AB315" s="35"/>
    </row>
    <row r="316" spans="1:28" s="42" customFormat="1">
      <c r="A316" s="2"/>
      <c r="C316" s="36"/>
      <c r="D316" s="62"/>
      <c r="E316" s="2"/>
      <c r="F316" s="95"/>
      <c r="G316" s="13"/>
      <c r="H316" s="2"/>
      <c r="I316" s="2"/>
      <c r="J316" s="2"/>
      <c r="K316" s="12"/>
      <c r="L316" s="13"/>
      <c r="M316" s="2"/>
      <c r="N316" s="43"/>
      <c r="O316" s="36"/>
      <c r="P316" s="9"/>
      <c r="Q316" s="5"/>
      <c r="R316" s="2"/>
      <c r="S316"/>
      <c r="T316"/>
      <c r="U316" s="1"/>
      <c r="V316"/>
      <c r="W316"/>
      <c r="X316"/>
      <c r="Y316"/>
      <c r="Z316"/>
      <c r="AA316" s="35"/>
      <c r="AB316" s="35"/>
    </row>
    <row r="317" spans="1:28" s="42" customFormat="1">
      <c r="A317" s="2"/>
      <c r="C317" s="36"/>
      <c r="D317" s="62"/>
      <c r="E317" s="2"/>
      <c r="F317" s="95"/>
      <c r="G317" s="13"/>
      <c r="H317" s="2"/>
      <c r="I317" s="2"/>
      <c r="J317" s="2"/>
      <c r="K317" s="12"/>
      <c r="L317" s="13"/>
      <c r="M317" s="2"/>
      <c r="N317" s="43"/>
      <c r="O317" s="36"/>
      <c r="P317" s="9"/>
      <c r="Q317" s="5"/>
      <c r="R317" s="2"/>
      <c r="S317"/>
      <c r="T317"/>
      <c r="U317" s="1"/>
      <c r="V317"/>
      <c r="W317"/>
      <c r="X317"/>
      <c r="Y317"/>
      <c r="Z317"/>
      <c r="AA317" s="35"/>
      <c r="AB317" s="35"/>
    </row>
    <row r="318" spans="1:28" s="42" customFormat="1">
      <c r="A318" s="2"/>
      <c r="C318" s="36"/>
      <c r="D318" s="62"/>
      <c r="E318" s="2"/>
      <c r="F318" s="95"/>
      <c r="G318" s="13"/>
      <c r="H318" s="2"/>
      <c r="I318" s="2"/>
      <c r="J318" s="2"/>
      <c r="K318" s="12"/>
      <c r="L318" s="13"/>
      <c r="M318" s="2"/>
      <c r="N318" s="43"/>
      <c r="O318" s="36"/>
      <c r="P318" s="9"/>
      <c r="Q318" s="5"/>
      <c r="R318" s="2"/>
      <c r="S318"/>
      <c r="T318"/>
      <c r="U318" s="1"/>
      <c r="V318"/>
      <c r="W318"/>
      <c r="X318"/>
      <c r="Y318"/>
      <c r="Z318"/>
      <c r="AA318" s="35"/>
      <c r="AB318" s="35"/>
    </row>
    <row r="319" spans="1:28" s="42" customFormat="1">
      <c r="A319" s="2"/>
      <c r="C319" s="36"/>
      <c r="D319" s="62"/>
      <c r="E319" s="2"/>
      <c r="F319" s="95"/>
      <c r="G319" s="13"/>
      <c r="H319" s="2"/>
      <c r="I319" s="2"/>
      <c r="J319" s="2"/>
      <c r="K319" s="12"/>
      <c r="L319" s="13"/>
      <c r="M319" s="2"/>
      <c r="N319" s="43"/>
      <c r="O319" s="36"/>
      <c r="P319" s="9"/>
      <c r="Q319" s="5"/>
      <c r="R319" s="2"/>
      <c r="S319"/>
      <c r="T319"/>
      <c r="U319" s="1"/>
      <c r="V319"/>
      <c r="W319"/>
      <c r="X319"/>
      <c r="Y319"/>
      <c r="Z319"/>
      <c r="AA319" s="35"/>
      <c r="AB319" s="35"/>
    </row>
    <row r="320" spans="1:28" s="42" customFormat="1">
      <c r="A320" s="2"/>
      <c r="C320" s="36"/>
      <c r="D320" s="62"/>
      <c r="E320" s="2"/>
      <c r="F320" s="95"/>
      <c r="G320" s="13"/>
      <c r="H320" s="2"/>
      <c r="I320" s="2"/>
      <c r="J320" s="2"/>
      <c r="K320" s="12"/>
      <c r="L320" s="13"/>
      <c r="M320" s="2"/>
      <c r="N320" s="43"/>
      <c r="O320" s="36"/>
      <c r="P320" s="9"/>
      <c r="Q320" s="5"/>
      <c r="R320" s="2"/>
      <c r="S320"/>
      <c r="T320"/>
      <c r="U320" s="1"/>
      <c r="V320"/>
      <c r="W320"/>
      <c r="X320"/>
      <c r="Y320"/>
      <c r="Z320"/>
      <c r="AA320" s="35"/>
      <c r="AB320" s="35"/>
    </row>
    <row r="321" spans="1:28" s="42" customFormat="1">
      <c r="A321" s="2"/>
      <c r="C321" s="36"/>
      <c r="D321" s="62"/>
      <c r="E321" s="2"/>
      <c r="F321" s="95"/>
      <c r="G321" s="13"/>
      <c r="H321" s="2"/>
      <c r="I321" s="2"/>
      <c r="J321" s="2"/>
      <c r="K321" s="12"/>
      <c r="L321" s="13"/>
      <c r="M321" s="2"/>
      <c r="N321" s="43"/>
      <c r="O321" s="36"/>
      <c r="P321" s="9"/>
      <c r="Q321" s="5"/>
      <c r="R321" s="2"/>
      <c r="S321"/>
      <c r="T321"/>
      <c r="U321" s="1"/>
      <c r="V321"/>
      <c r="W321"/>
      <c r="X321"/>
      <c r="Y321"/>
      <c r="Z321"/>
      <c r="AA321" s="35"/>
      <c r="AB321" s="35"/>
    </row>
    <row r="322" spans="1:28" s="42" customFormat="1">
      <c r="A322" s="2"/>
      <c r="C322" s="36"/>
      <c r="D322" s="62"/>
      <c r="E322" s="2"/>
      <c r="F322" s="95"/>
      <c r="G322" s="13"/>
      <c r="H322" s="2"/>
      <c r="I322" s="2"/>
      <c r="J322" s="2"/>
      <c r="K322" s="12"/>
      <c r="L322" s="13"/>
      <c r="M322" s="2"/>
      <c r="N322" s="43"/>
      <c r="O322" s="36"/>
      <c r="P322" s="9"/>
      <c r="Q322" s="5"/>
      <c r="R322" s="2"/>
      <c r="S322"/>
      <c r="T322"/>
      <c r="U322" s="1"/>
      <c r="V322"/>
      <c r="W322"/>
      <c r="X322"/>
      <c r="Y322"/>
      <c r="Z322"/>
      <c r="AA322" s="35"/>
      <c r="AB322" s="35"/>
    </row>
    <row r="323" spans="1:28" s="42" customFormat="1">
      <c r="A323" s="2"/>
      <c r="C323" s="36"/>
      <c r="D323" s="62"/>
      <c r="E323" s="2"/>
      <c r="F323" s="95"/>
      <c r="G323" s="13"/>
      <c r="H323" s="2"/>
      <c r="I323" s="2"/>
      <c r="J323" s="2"/>
      <c r="K323" s="12"/>
      <c r="L323" s="13"/>
      <c r="M323" s="2"/>
      <c r="N323" s="43"/>
      <c r="O323" s="36"/>
      <c r="P323" s="9"/>
      <c r="Q323" s="5"/>
      <c r="R323" s="2"/>
      <c r="S323"/>
      <c r="T323"/>
      <c r="U323" s="1"/>
      <c r="V323"/>
      <c r="W323"/>
      <c r="X323"/>
      <c r="Y323"/>
      <c r="Z323"/>
      <c r="AA323" s="35"/>
      <c r="AB323" s="35"/>
    </row>
    <row r="324" spans="1:28" s="42" customFormat="1">
      <c r="A324" s="2"/>
      <c r="C324" s="36"/>
      <c r="D324" s="62"/>
      <c r="E324" s="2"/>
      <c r="F324" s="95"/>
      <c r="G324" s="13"/>
      <c r="H324" s="2"/>
      <c r="I324" s="2"/>
      <c r="J324" s="2"/>
      <c r="K324" s="12"/>
      <c r="L324" s="13"/>
      <c r="M324" s="2"/>
      <c r="N324" s="43"/>
      <c r="O324" s="36"/>
      <c r="P324" s="9"/>
      <c r="Q324" s="5"/>
      <c r="R324" s="2"/>
      <c r="S324"/>
      <c r="T324"/>
      <c r="U324" s="1"/>
      <c r="V324"/>
      <c r="W324"/>
      <c r="X324"/>
      <c r="Y324"/>
      <c r="Z324"/>
      <c r="AA324" s="35"/>
      <c r="AB324" s="35"/>
    </row>
    <row r="325" spans="1:28" s="42" customFormat="1">
      <c r="A325" s="2"/>
      <c r="C325" s="36"/>
      <c r="D325" s="62"/>
      <c r="E325" s="2"/>
      <c r="F325" s="95"/>
      <c r="G325" s="13"/>
      <c r="H325" s="2"/>
      <c r="I325" s="2"/>
      <c r="J325" s="2"/>
      <c r="K325" s="12"/>
      <c r="L325" s="13"/>
      <c r="M325" s="2"/>
      <c r="N325" s="43"/>
      <c r="O325" s="36"/>
      <c r="P325" s="9"/>
      <c r="Q325" s="5"/>
      <c r="R325" s="2"/>
      <c r="S325"/>
      <c r="T325"/>
      <c r="U325" s="1"/>
      <c r="V325"/>
      <c r="W325"/>
      <c r="X325"/>
      <c r="Y325"/>
      <c r="Z325"/>
      <c r="AA325" s="35"/>
      <c r="AB325" s="35"/>
    </row>
    <row r="326" spans="1:28" s="42" customFormat="1">
      <c r="A326" s="2"/>
      <c r="C326" s="36"/>
      <c r="D326" s="62"/>
      <c r="E326" s="2"/>
      <c r="F326" s="95"/>
      <c r="G326" s="13"/>
      <c r="H326" s="2"/>
      <c r="I326" s="2"/>
      <c r="J326" s="2"/>
      <c r="K326" s="12"/>
      <c r="L326" s="13"/>
      <c r="M326" s="2"/>
      <c r="N326" s="43"/>
      <c r="O326" s="36"/>
      <c r="P326" s="9"/>
      <c r="Q326" s="5"/>
      <c r="R326" s="2"/>
      <c r="S326"/>
      <c r="T326"/>
      <c r="U326" s="1"/>
      <c r="V326"/>
      <c r="W326"/>
      <c r="X326"/>
      <c r="Y326"/>
      <c r="Z326"/>
      <c r="AA326" s="35"/>
      <c r="AB326" s="35"/>
    </row>
    <row r="327" spans="1:28" s="42" customFormat="1">
      <c r="A327" s="2"/>
      <c r="C327" s="36"/>
      <c r="D327" s="62"/>
      <c r="E327" s="2"/>
      <c r="F327" s="95"/>
      <c r="G327" s="13"/>
      <c r="H327" s="2"/>
      <c r="I327" s="2"/>
      <c r="J327" s="2"/>
      <c r="K327" s="12"/>
      <c r="L327" s="13"/>
      <c r="M327" s="2"/>
      <c r="N327" s="43"/>
      <c r="O327" s="36"/>
      <c r="P327" s="9"/>
      <c r="Q327" s="5"/>
      <c r="R327" s="2"/>
      <c r="S327"/>
      <c r="T327"/>
      <c r="U327" s="1"/>
      <c r="V327"/>
      <c r="W327"/>
      <c r="X327"/>
      <c r="Y327"/>
      <c r="Z327"/>
      <c r="AA327" s="35"/>
      <c r="AB327" s="35"/>
    </row>
    <row r="328" spans="1:28" s="42" customFormat="1">
      <c r="A328" s="2"/>
      <c r="C328" s="36"/>
      <c r="D328" s="62"/>
      <c r="E328" s="2"/>
      <c r="F328" s="95"/>
      <c r="G328" s="13"/>
      <c r="H328" s="2"/>
      <c r="I328" s="2"/>
      <c r="J328" s="2"/>
      <c r="K328" s="12"/>
      <c r="L328" s="13"/>
      <c r="M328" s="2"/>
      <c r="N328" s="43"/>
      <c r="O328" s="36"/>
      <c r="P328" s="9"/>
      <c r="Q328" s="5"/>
      <c r="R328" s="2"/>
      <c r="S328"/>
      <c r="T328"/>
      <c r="U328" s="1"/>
      <c r="V328"/>
      <c r="W328"/>
      <c r="X328"/>
      <c r="Y328"/>
      <c r="Z328"/>
      <c r="AA328" s="35"/>
      <c r="AB328" s="35"/>
    </row>
    <row r="329" spans="1:28" s="42" customFormat="1">
      <c r="A329" s="2"/>
      <c r="C329" s="36"/>
      <c r="D329" s="62"/>
      <c r="E329" s="2"/>
      <c r="F329" s="95"/>
      <c r="G329" s="13"/>
      <c r="H329" s="2"/>
      <c r="I329" s="2"/>
      <c r="J329" s="2"/>
      <c r="K329" s="12"/>
      <c r="L329" s="13"/>
      <c r="M329" s="2"/>
      <c r="N329" s="43"/>
      <c r="O329" s="36"/>
      <c r="P329" s="9"/>
      <c r="Q329" s="5"/>
      <c r="R329" s="2"/>
      <c r="S329"/>
      <c r="T329"/>
      <c r="U329" s="1"/>
      <c r="V329"/>
      <c r="W329"/>
      <c r="X329"/>
      <c r="Y329"/>
      <c r="Z329"/>
      <c r="AA329" s="35"/>
      <c r="AB329" s="35"/>
    </row>
    <row r="330" spans="1:28" s="42" customFormat="1">
      <c r="A330" s="2"/>
      <c r="C330" s="36"/>
      <c r="D330" s="62"/>
      <c r="E330" s="2"/>
      <c r="F330" s="95"/>
      <c r="G330" s="13"/>
      <c r="H330" s="2"/>
      <c r="I330" s="2"/>
      <c r="J330" s="2"/>
      <c r="K330" s="12"/>
      <c r="L330" s="13"/>
      <c r="M330" s="2"/>
      <c r="N330" s="43"/>
      <c r="O330" s="36"/>
      <c r="P330" s="9"/>
      <c r="Q330" s="5"/>
      <c r="R330" s="2"/>
      <c r="S330"/>
      <c r="T330"/>
      <c r="U330" s="1"/>
      <c r="V330"/>
      <c r="W330"/>
      <c r="X330"/>
      <c r="Y330"/>
      <c r="Z330"/>
      <c r="AA330" s="35"/>
      <c r="AB330" s="35"/>
    </row>
    <row r="331" spans="1:28" s="42" customFormat="1">
      <c r="A331" s="2"/>
      <c r="C331" s="36"/>
      <c r="D331" s="62"/>
      <c r="E331" s="2"/>
      <c r="F331" s="95"/>
      <c r="G331" s="13"/>
      <c r="H331" s="2"/>
      <c r="I331" s="2"/>
      <c r="J331" s="2"/>
      <c r="K331" s="12"/>
      <c r="L331" s="13"/>
      <c r="M331" s="2"/>
      <c r="N331" s="43"/>
      <c r="O331" s="36"/>
      <c r="P331" s="9"/>
      <c r="Q331" s="5"/>
      <c r="R331" s="2"/>
      <c r="S331"/>
      <c r="T331"/>
      <c r="U331" s="1"/>
      <c r="V331"/>
      <c r="W331"/>
      <c r="X331"/>
      <c r="Y331"/>
      <c r="Z331"/>
      <c r="AA331" s="35"/>
      <c r="AB331" s="35"/>
    </row>
    <row r="332" spans="1:28" s="42" customFormat="1">
      <c r="A332" s="2"/>
      <c r="C332" s="36"/>
      <c r="D332" s="62"/>
      <c r="E332" s="2"/>
      <c r="F332" s="95"/>
      <c r="G332" s="13"/>
      <c r="H332" s="2"/>
      <c r="I332" s="2"/>
      <c r="J332" s="2"/>
      <c r="K332" s="12"/>
      <c r="L332" s="13"/>
      <c r="M332" s="2"/>
      <c r="N332" s="43"/>
      <c r="O332" s="36"/>
      <c r="P332" s="9"/>
      <c r="Q332" s="5"/>
      <c r="R332" s="2"/>
      <c r="S332"/>
      <c r="T332"/>
      <c r="U332" s="1"/>
      <c r="V332"/>
      <c r="W332"/>
      <c r="X332"/>
      <c r="Y332"/>
      <c r="Z332"/>
      <c r="AA332" s="35"/>
      <c r="AB332" s="35"/>
    </row>
    <row r="333" spans="1:28" s="42" customFormat="1">
      <c r="A333" s="2"/>
      <c r="C333" s="36"/>
      <c r="D333" s="62"/>
      <c r="E333" s="2"/>
      <c r="F333" s="95"/>
      <c r="G333" s="13"/>
      <c r="H333" s="2"/>
      <c r="I333" s="2"/>
      <c r="J333" s="2"/>
      <c r="K333" s="12"/>
      <c r="L333" s="13"/>
      <c r="M333" s="2"/>
      <c r="N333" s="43"/>
      <c r="O333" s="36"/>
      <c r="P333" s="9"/>
      <c r="Q333" s="5"/>
      <c r="R333" s="2"/>
      <c r="S333"/>
      <c r="T333"/>
      <c r="U333" s="1"/>
      <c r="V333"/>
      <c r="W333"/>
      <c r="X333"/>
      <c r="Y333"/>
      <c r="Z333"/>
      <c r="AA333" s="35"/>
      <c r="AB333" s="35"/>
    </row>
    <row r="334" spans="1:28" s="42" customFormat="1">
      <c r="A334" s="2"/>
      <c r="C334" s="36"/>
      <c r="D334" s="62"/>
      <c r="E334" s="2"/>
      <c r="F334" s="95"/>
      <c r="G334" s="13"/>
      <c r="H334" s="2"/>
      <c r="I334" s="2"/>
      <c r="J334" s="2"/>
      <c r="K334" s="12"/>
      <c r="L334" s="13"/>
      <c r="M334" s="2"/>
      <c r="N334" s="43"/>
      <c r="O334" s="36"/>
      <c r="P334" s="9"/>
      <c r="Q334" s="5"/>
      <c r="R334" s="2"/>
      <c r="S334"/>
      <c r="T334"/>
      <c r="U334" s="1"/>
      <c r="V334"/>
      <c r="W334"/>
      <c r="X334"/>
      <c r="Y334"/>
      <c r="Z334"/>
      <c r="AA334" s="35"/>
      <c r="AB334" s="35"/>
    </row>
    <row r="335" spans="1:28" s="42" customFormat="1">
      <c r="A335" s="2"/>
      <c r="C335" s="36"/>
      <c r="D335" s="62"/>
      <c r="E335" s="2"/>
      <c r="F335" s="95"/>
      <c r="G335" s="13"/>
      <c r="H335" s="2"/>
      <c r="I335" s="2"/>
      <c r="J335" s="2"/>
      <c r="K335" s="12"/>
      <c r="L335" s="13"/>
      <c r="M335" s="2"/>
      <c r="N335" s="43"/>
      <c r="O335" s="36"/>
      <c r="P335" s="9"/>
      <c r="Q335" s="5"/>
      <c r="R335" s="2"/>
      <c r="S335"/>
      <c r="T335"/>
      <c r="U335" s="1"/>
      <c r="V335"/>
      <c r="W335"/>
      <c r="X335"/>
      <c r="Y335"/>
      <c r="Z335"/>
      <c r="AA335" s="35"/>
      <c r="AB335" s="35"/>
    </row>
    <row r="336" spans="1:28" s="42" customFormat="1">
      <c r="A336" s="2"/>
      <c r="C336" s="36"/>
      <c r="D336" s="62"/>
      <c r="E336" s="2"/>
      <c r="F336" s="95"/>
      <c r="G336" s="13"/>
      <c r="H336" s="2"/>
      <c r="I336" s="2"/>
      <c r="J336" s="2"/>
      <c r="K336" s="12"/>
      <c r="L336" s="13"/>
      <c r="M336" s="2"/>
      <c r="N336" s="43"/>
      <c r="O336" s="36"/>
      <c r="P336" s="9"/>
      <c r="Q336" s="5"/>
      <c r="R336" s="2"/>
      <c r="S336"/>
      <c r="T336"/>
      <c r="U336" s="1"/>
      <c r="V336"/>
      <c r="W336"/>
      <c r="X336"/>
      <c r="Y336"/>
      <c r="Z336"/>
      <c r="AA336" s="35"/>
      <c r="AB336" s="35"/>
    </row>
    <row r="337" spans="1:28" s="42" customFormat="1">
      <c r="A337" s="2"/>
      <c r="C337" s="36"/>
      <c r="D337" s="62"/>
      <c r="E337" s="2"/>
      <c r="F337" s="95"/>
      <c r="G337" s="13"/>
      <c r="H337" s="2"/>
      <c r="I337" s="2"/>
      <c r="J337" s="2"/>
      <c r="K337" s="12"/>
      <c r="L337" s="13"/>
      <c r="M337" s="2"/>
      <c r="N337" s="43"/>
      <c r="O337" s="36"/>
      <c r="P337" s="9"/>
      <c r="Q337" s="5"/>
      <c r="R337" s="2"/>
      <c r="S337"/>
      <c r="T337"/>
      <c r="U337" s="1"/>
      <c r="V337"/>
      <c r="W337"/>
      <c r="X337"/>
      <c r="Y337"/>
      <c r="Z337"/>
      <c r="AA337" s="35"/>
      <c r="AB337" s="35"/>
    </row>
    <row r="338" spans="1:28" s="42" customFormat="1">
      <c r="A338" s="2"/>
      <c r="C338" s="36"/>
      <c r="D338" s="62"/>
      <c r="E338" s="2"/>
      <c r="F338" s="95"/>
      <c r="G338" s="13"/>
      <c r="H338" s="2"/>
      <c r="I338" s="2"/>
      <c r="J338" s="2"/>
      <c r="K338" s="12"/>
      <c r="L338" s="13"/>
      <c r="M338" s="2"/>
      <c r="N338" s="43"/>
      <c r="O338" s="36"/>
      <c r="P338" s="9"/>
      <c r="Q338" s="5"/>
      <c r="R338" s="2"/>
      <c r="S338"/>
      <c r="T338"/>
      <c r="U338" s="1"/>
      <c r="V338"/>
      <c r="W338"/>
      <c r="X338"/>
      <c r="Y338"/>
      <c r="Z338"/>
      <c r="AA338" s="35"/>
      <c r="AB338" s="35"/>
    </row>
    <row r="339" spans="1:28" s="42" customFormat="1">
      <c r="A339" s="2"/>
      <c r="C339" s="36"/>
      <c r="D339" s="62"/>
      <c r="E339" s="2"/>
      <c r="F339" s="95"/>
      <c r="G339" s="13"/>
      <c r="H339" s="2"/>
      <c r="I339" s="2"/>
      <c r="J339" s="2"/>
      <c r="K339" s="12"/>
      <c r="L339" s="13"/>
      <c r="M339" s="2"/>
      <c r="N339" s="43"/>
      <c r="O339" s="36"/>
      <c r="P339" s="9"/>
      <c r="Q339" s="5"/>
      <c r="R339" s="2"/>
      <c r="S339"/>
      <c r="T339"/>
      <c r="U339" s="1"/>
      <c r="V339"/>
      <c r="W339"/>
      <c r="X339"/>
      <c r="Y339"/>
      <c r="Z339"/>
      <c r="AA339" s="35"/>
      <c r="AB339" s="35"/>
    </row>
    <row r="340" spans="1:28" s="42" customFormat="1">
      <c r="A340" s="2"/>
      <c r="C340" s="36"/>
      <c r="D340" s="62"/>
      <c r="E340" s="2"/>
      <c r="F340" s="95"/>
      <c r="G340" s="13"/>
      <c r="H340" s="2"/>
      <c r="I340" s="2"/>
      <c r="J340" s="2"/>
      <c r="K340" s="12"/>
      <c r="L340" s="13"/>
      <c r="M340" s="2"/>
      <c r="N340" s="43"/>
      <c r="O340" s="36"/>
      <c r="P340" s="9"/>
      <c r="Q340" s="5"/>
      <c r="R340" s="2"/>
      <c r="S340"/>
      <c r="T340"/>
      <c r="U340" s="1"/>
      <c r="V340"/>
      <c r="W340"/>
      <c r="X340"/>
      <c r="Y340"/>
      <c r="Z340"/>
      <c r="AA340" s="35"/>
      <c r="AB340" s="35"/>
    </row>
    <row r="341" spans="1:28" s="42" customFormat="1">
      <c r="A341" s="2"/>
      <c r="C341" s="36"/>
      <c r="D341" s="62"/>
      <c r="E341" s="2"/>
      <c r="F341" s="95"/>
      <c r="G341" s="13"/>
      <c r="H341" s="2"/>
      <c r="I341" s="2"/>
      <c r="J341" s="2"/>
      <c r="K341" s="12"/>
      <c r="L341" s="13"/>
      <c r="M341" s="2"/>
      <c r="N341" s="43"/>
      <c r="O341" s="36"/>
      <c r="P341" s="9"/>
      <c r="Q341" s="5"/>
      <c r="R341" s="2"/>
      <c r="S341"/>
      <c r="T341"/>
      <c r="U341" s="1"/>
      <c r="V341"/>
      <c r="W341"/>
      <c r="X341"/>
      <c r="Y341"/>
      <c r="Z341"/>
      <c r="AA341" s="35"/>
      <c r="AB341" s="35"/>
    </row>
    <row r="342" spans="1:28" s="42" customFormat="1">
      <c r="A342" s="2"/>
      <c r="C342" s="36"/>
      <c r="D342" s="62"/>
      <c r="E342" s="2"/>
      <c r="F342" s="95"/>
      <c r="G342" s="13"/>
      <c r="H342" s="2"/>
      <c r="I342" s="2"/>
      <c r="J342" s="2"/>
      <c r="K342" s="12"/>
      <c r="L342" s="13"/>
      <c r="M342" s="2"/>
      <c r="N342" s="43"/>
      <c r="O342" s="36"/>
      <c r="P342" s="9"/>
      <c r="Q342" s="5"/>
      <c r="R342" s="2"/>
      <c r="S342"/>
      <c r="T342"/>
      <c r="U342" s="1"/>
      <c r="V342"/>
      <c r="W342"/>
      <c r="X342"/>
      <c r="Y342"/>
      <c r="Z342"/>
      <c r="AA342" s="35"/>
      <c r="AB342" s="35"/>
    </row>
    <row r="343" spans="1:28" s="42" customFormat="1">
      <c r="A343" s="2"/>
      <c r="C343" s="36"/>
      <c r="D343" s="62"/>
      <c r="E343" s="2"/>
      <c r="F343" s="95"/>
      <c r="G343" s="13"/>
      <c r="H343" s="2"/>
      <c r="I343" s="2"/>
      <c r="J343" s="2"/>
      <c r="K343" s="12"/>
      <c r="L343" s="13"/>
      <c r="M343" s="2"/>
      <c r="N343" s="43"/>
      <c r="O343" s="36"/>
      <c r="P343" s="9"/>
      <c r="Q343" s="5"/>
      <c r="R343" s="2"/>
      <c r="S343"/>
      <c r="T343"/>
      <c r="U343" s="1"/>
      <c r="V343"/>
      <c r="W343"/>
      <c r="X343"/>
      <c r="Y343"/>
      <c r="Z343"/>
      <c r="AA343" s="35"/>
      <c r="AB343" s="35"/>
    </row>
    <row r="344" spans="1:28" s="42" customFormat="1">
      <c r="A344" s="2"/>
      <c r="C344" s="36"/>
      <c r="D344" s="62"/>
      <c r="E344" s="2"/>
      <c r="F344" s="95"/>
      <c r="G344" s="13"/>
      <c r="H344" s="2"/>
      <c r="I344" s="2"/>
      <c r="J344" s="2"/>
      <c r="K344" s="12"/>
      <c r="L344" s="13"/>
      <c r="M344" s="2"/>
      <c r="N344" s="43"/>
      <c r="O344" s="36"/>
      <c r="P344" s="9"/>
      <c r="Q344" s="5"/>
      <c r="R344" s="2"/>
      <c r="S344"/>
      <c r="T344"/>
      <c r="U344" s="1"/>
      <c r="V344"/>
      <c r="W344"/>
      <c r="X344"/>
      <c r="Y344"/>
      <c r="Z344"/>
      <c r="AA344" s="35"/>
      <c r="AB344" s="35"/>
    </row>
    <row r="345" spans="1:28" s="42" customFormat="1">
      <c r="A345" s="2"/>
      <c r="C345" s="36"/>
      <c r="D345" s="62"/>
      <c r="E345" s="2"/>
      <c r="F345" s="95"/>
      <c r="G345" s="13"/>
      <c r="H345" s="2"/>
      <c r="I345" s="2"/>
      <c r="J345" s="2"/>
      <c r="K345" s="12"/>
      <c r="L345" s="13"/>
      <c r="M345" s="2"/>
      <c r="N345" s="43"/>
      <c r="O345" s="36"/>
      <c r="P345" s="9"/>
      <c r="Q345" s="5"/>
      <c r="R345" s="2"/>
      <c r="S345"/>
      <c r="T345"/>
      <c r="U345" s="1"/>
      <c r="V345"/>
      <c r="W345"/>
      <c r="X345"/>
      <c r="Y345"/>
      <c r="Z345"/>
      <c r="AA345" s="35"/>
      <c r="AB345" s="35"/>
    </row>
    <row r="346" spans="1:28" s="42" customFormat="1">
      <c r="A346" s="2"/>
      <c r="C346" s="36"/>
      <c r="D346" s="62"/>
      <c r="E346" s="2"/>
      <c r="F346" s="95"/>
      <c r="G346" s="13"/>
      <c r="H346" s="2"/>
      <c r="I346" s="2"/>
      <c r="J346" s="2"/>
      <c r="K346" s="12"/>
      <c r="L346" s="13"/>
      <c r="M346" s="2"/>
      <c r="N346" s="43"/>
      <c r="O346" s="36"/>
      <c r="P346" s="9"/>
      <c r="Q346" s="5"/>
      <c r="R346" s="2"/>
      <c r="S346"/>
      <c r="T346"/>
      <c r="U346" s="1"/>
      <c r="V346"/>
      <c r="W346"/>
      <c r="X346"/>
      <c r="Y346"/>
      <c r="Z346"/>
      <c r="AA346" s="35"/>
      <c r="AB346" s="35"/>
    </row>
    <row r="347" spans="1:28" s="42" customFormat="1">
      <c r="A347" s="2"/>
      <c r="C347" s="36"/>
      <c r="D347" s="62"/>
      <c r="E347" s="2"/>
      <c r="F347" s="95"/>
      <c r="G347" s="13"/>
      <c r="H347" s="2"/>
      <c r="I347" s="2"/>
      <c r="J347" s="2"/>
      <c r="K347" s="12"/>
      <c r="L347" s="13"/>
      <c r="M347" s="2"/>
      <c r="N347" s="43"/>
      <c r="O347" s="36"/>
      <c r="P347" s="9"/>
      <c r="Q347" s="5"/>
      <c r="R347" s="2"/>
      <c r="S347"/>
      <c r="T347"/>
      <c r="U347" s="1"/>
      <c r="V347"/>
      <c r="W347"/>
      <c r="X347"/>
      <c r="Y347"/>
      <c r="Z347"/>
      <c r="AA347" s="35"/>
      <c r="AB347" s="35"/>
    </row>
    <row r="348" spans="1:28" s="42" customFormat="1">
      <c r="A348" s="2"/>
      <c r="C348" s="36"/>
      <c r="D348" s="62"/>
      <c r="E348" s="2"/>
      <c r="F348" s="95"/>
      <c r="G348" s="13"/>
      <c r="H348" s="2"/>
      <c r="I348" s="2"/>
      <c r="J348" s="2"/>
      <c r="K348" s="12"/>
      <c r="L348" s="13"/>
      <c r="M348" s="2"/>
      <c r="N348" s="43"/>
      <c r="O348" s="36"/>
      <c r="P348" s="9"/>
      <c r="Q348" s="5"/>
      <c r="R348" s="2"/>
      <c r="S348"/>
      <c r="T348"/>
      <c r="U348" s="1"/>
      <c r="V348"/>
      <c r="W348"/>
      <c r="X348"/>
      <c r="Y348"/>
      <c r="Z348"/>
      <c r="AA348" s="35"/>
      <c r="AB348" s="35"/>
    </row>
    <row r="349" spans="1:28" s="42" customFormat="1">
      <c r="A349" s="2"/>
      <c r="C349" s="36"/>
      <c r="D349" s="62"/>
      <c r="E349" s="2"/>
      <c r="F349" s="95"/>
      <c r="G349" s="13"/>
      <c r="H349" s="2"/>
      <c r="I349" s="2"/>
      <c r="J349" s="2"/>
      <c r="K349" s="12"/>
      <c r="L349" s="13"/>
      <c r="M349" s="2"/>
      <c r="N349" s="43"/>
      <c r="O349" s="36"/>
      <c r="P349" s="9"/>
      <c r="Q349" s="5"/>
      <c r="R349" s="2"/>
      <c r="S349"/>
      <c r="T349"/>
      <c r="U349" s="1"/>
      <c r="V349"/>
      <c r="W349"/>
      <c r="X349"/>
      <c r="Y349"/>
      <c r="Z349"/>
      <c r="AA349" s="35"/>
      <c r="AB349" s="35"/>
    </row>
    <row r="350" spans="1:28" s="42" customFormat="1">
      <c r="A350" s="2"/>
      <c r="C350" s="36"/>
      <c r="D350" s="62"/>
      <c r="E350" s="2"/>
      <c r="F350" s="95"/>
      <c r="G350" s="13"/>
      <c r="H350" s="2"/>
      <c r="I350" s="2"/>
      <c r="J350" s="2"/>
      <c r="K350" s="12"/>
      <c r="L350" s="13"/>
      <c r="M350" s="2"/>
      <c r="N350" s="43"/>
      <c r="O350" s="36"/>
      <c r="P350" s="9"/>
      <c r="Q350" s="5"/>
      <c r="R350" s="2"/>
      <c r="S350"/>
      <c r="T350"/>
      <c r="U350" s="1"/>
      <c r="V350"/>
      <c r="W350"/>
      <c r="X350"/>
      <c r="Y350"/>
      <c r="Z350"/>
      <c r="AA350" s="35"/>
      <c r="AB350" s="35"/>
    </row>
    <row r="351" spans="1:28" s="42" customFormat="1">
      <c r="A351" s="2"/>
      <c r="C351" s="36"/>
      <c r="D351" s="62"/>
      <c r="E351" s="2"/>
      <c r="F351" s="95"/>
      <c r="G351" s="13"/>
      <c r="H351" s="2"/>
      <c r="I351" s="2"/>
      <c r="J351" s="2"/>
      <c r="K351" s="12"/>
      <c r="L351" s="13"/>
      <c r="M351" s="2"/>
      <c r="N351" s="43"/>
      <c r="O351" s="36"/>
      <c r="P351" s="9"/>
      <c r="Q351" s="5"/>
      <c r="R351" s="2"/>
      <c r="S351"/>
      <c r="T351"/>
      <c r="U351" s="1"/>
      <c r="V351"/>
      <c r="W351"/>
      <c r="X351"/>
      <c r="Y351"/>
      <c r="Z351"/>
      <c r="AA351" s="35"/>
      <c r="AB351" s="35"/>
    </row>
    <row r="352" spans="1:28" s="42" customFormat="1">
      <c r="A352" s="2"/>
      <c r="C352" s="36"/>
      <c r="D352" s="62"/>
      <c r="E352" s="2"/>
      <c r="F352" s="95"/>
      <c r="G352" s="13"/>
      <c r="H352" s="2"/>
      <c r="I352" s="2"/>
      <c r="J352" s="2"/>
      <c r="K352" s="12"/>
      <c r="L352" s="13"/>
      <c r="M352" s="2"/>
      <c r="N352" s="43"/>
      <c r="O352" s="36"/>
      <c r="P352" s="9"/>
      <c r="Q352" s="5"/>
      <c r="R352" s="2"/>
      <c r="S352"/>
      <c r="T352"/>
      <c r="U352" s="1"/>
      <c r="V352"/>
      <c r="W352"/>
      <c r="X352"/>
      <c r="Y352"/>
      <c r="Z352"/>
      <c r="AA352" s="35"/>
      <c r="AB352" s="35"/>
    </row>
    <row r="353" spans="1:28" s="42" customFormat="1">
      <c r="A353" s="2"/>
      <c r="C353" s="36"/>
      <c r="D353" s="62"/>
      <c r="E353" s="2"/>
      <c r="F353" s="95"/>
      <c r="G353" s="13"/>
      <c r="H353" s="2"/>
      <c r="I353" s="2"/>
      <c r="J353" s="2"/>
      <c r="K353" s="12"/>
      <c r="L353" s="13"/>
      <c r="M353" s="2"/>
      <c r="N353" s="43"/>
      <c r="O353" s="36"/>
      <c r="P353" s="9"/>
      <c r="Q353" s="5"/>
      <c r="R353" s="2"/>
      <c r="S353"/>
      <c r="T353"/>
      <c r="U353" s="1"/>
      <c r="V353"/>
      <c r="W353"/>
      <c r="X353"/>
      <c r="Y353"/>
      <c r="Z353"/>
      <c r="AA353" s="35"/>
      <c r="AB353" s="35"/>
    </row>
    <row r="354" spans="1:28" s="42" customFormat="1">
      <c r="A354" s="2"/>
      <c r="C354" s="36"/>
      <c r="D354" s="62"/>
      <c r="E354" s="2"/>
      <c r="F354" s="95"/>
      <c r="G354" s="13"/>
      <c r="H354" s="2"/>
      <c r="I354" s="2"/>
      <c r="J354" s="2"/>
      <c r="K354" s="12"/>
      <c r="L354" s="13"/>
      <c r="M354" s="2"/>
      <c r="N354" s="43"/>
      <c r="O354" s="36"/>
      <c r="P354" s="9"/>
      <c r="Q354" s="5"/>
      <c r="R354" s="2"/>
      <c r="S354"/>
      <c r="T354"/>
      <c r="U354" s="1"/>
      <c r="V354"/>
      <c r="W354"/>
      <c r="X354"/>
      <c r="Y354"/>
      <c r="Z354"/>
      <c r="AA354" s="35"/>
      <c r="AB354" s="35"/>
    </row>
    <row r="355" spans="1:28" s="42" customFormat="1">
      <c r="A355" s="2"/>
      <c r="C355" s="36"/>
      <c r="D355" s="62"/>
      <c r="E355" s="2"/>
      <c r="F355" s="95"/>
      <c r="G355" s="13"/>
      <c r="H355" s="2"/>
      <c r="I355" s="2"/>
      <c r="J355" s="2"/>
      <c r="K355" s="12"/>
      <c r="L355" s="13"/>
      <c r="M355" s="2"/>
      <c r="N355" s="43"/>
      <c r="O355" s="36"/>
      <c r="P355" s="9"/>
      <c r="Q355" s="5"/>
      <c r="R355" s="2"/>
      <c r="S355"/>
      <c r="T355"/>
      <c r="U355" s="1"/>
      <c r="V355"/>
      <c r="W355"/>
      <c r="X355"/>
      <c r="Y355"/>
      <c r="Z355"/>
      <c r="AA355" s="35"/>
      <c r="AB355" s="35"/>
    </row>
    <row r="356" spans="1:28" s="42" customFormat="1">
      <c r="A356" s="2"/>
      <c r="C356" s="36"/>
      <c r="D356" s="62"/>
      <c r="E356" s="2"/>
      <c r="F356" s="95"/>
      <c r="G356" s="13"/>
      <c r="H356" s="2"/>
      <c r="I356" s="2"/>
      <c r="J356" s="2"/>
      <c r="K356" s="12"/>
      <c r="L356" s="13"/>
      <c r="M356" s="2"/>
      <c r="N356" s="43"/>
      <c r="O356" s="36"/>
      <c r="P356" s="9"/>
      <c r="Q356" s="5"/>
      <c r="R356" s="2"/>
      <c r="S356"/>
      <c r="T356"/>
      <c r="U356" s="1"/>
      <c r="V356"/>
      <c r="W356"/>
      <c r="X356"/>
      <c r="Y356"/>
      <c r="Z356"/>
      <c r="AA356" s="35"/>
      <c r="AB356" s="35"/>
    </row>
    <row r="357" spans="1:28" s="42" customFormat="1">
      <c r="A357" s="2"/>
      <c r="C357" s="36"/>
      <c r="D357" s="62"/>
      <c r="E357" s="2"/>
      <c r="F357" s="95"/>
      <c r="G357" s="13"/>
      <c r="H357" s="2"/>
      <c r="I357" s="2"/>
      <c r="J357" s="2"/>
      <c r="K357" s="12"/>
      <c r="L357" s="13"/>
      <c r="M357" s="2"/>
      <c r="N357" s="43"/>
      <c r="O357" s="36"/>
      <c r="P357" s="9"/>
      <c r="Q357" s="5"/>
      <c r="R357" s="2"/>
      <c r="S357"/>
      <c r="T357"/>
      <c r="U357" s="1"/>
      <c r="V357"/>
      <c r="W357"/>
      <c r="X357"/>
      <c r="Y357"/>
      <c r="Z357"/>
      <c r="AA357" s="35"/>
      <c r="AB357" s="35"/>
    </row>
    <row r="358" spans="1:28" s="42" customFormat="1">
      <c r="A358" s="2"/>
      <c r="C358" s="36"/>
      <c r="D358" s="62"/>
      <c r="E358" s="2"/>
      <c r="F358" s="95"/>
      <c r="G358" s="13"/>
      <c r="H358" s="2"/>
      <c r="I358" s="2"/>
      <c r="J358" s="2"/>
      <c r="K358" s="12"/>
      <c r="L358" s="13"/>
      <c r="M358" s="2"/>
      <c r="N358" s="43"/>
      <c r="O358" s="36"/>
      <c r="P358" s="9"/>
      <c r="Q358" s="5"/>
      <c r="R358" s="2"/>
      <c r="S358"/>
      <c r="T358"/>
      <c r="U358" s="1"/>
      <c r="V358"/>
      <c r="W358"/>
      <c r="X358"/>
      <c r="Y358"/>
      <c r="Z358"/>
      <c r="AA358" s="35"/>
      <c r="AB358" s="35"/>
    </row>
    <row r="359" spans="1:28" s="42" customFormat="1">
      <c r="A359" s="2"/>
      <c r="C359" s="36"/>
      <c r="D359" s="62"/>
      <c r="E359" s="2"/>
      <c r="F359" s="95"/>
      <c r="G359" s="13"/>
      <c r="H359" s="2"/>
      <c r="I359" s="2"/>
      <c r="J359" s="2"/>
      <c r="K359" s="12"/>
      <c r="L359" s="13"/>
      <c r="M359" s="2"/>
      <c r="N359" s="43"/>
      <c r="O359" s="36"/>
      <c r="P359" s="9"/>
      <c r="Q359" s="5"/>
      <c r="R359" s="2"/>
      <c r="S359"/>
      <c r="T359"/>
      <c r="U359" s="1"/>
      <c r="V359"/>
      <c r="W359"/>
      <c r="X359"/>
      <c r="Y359"/>
      <c r="Z359"/>
      <c r="AA359" s="35"/>
      <c r="AB359" s="35"/>
    </row>
    <row r="360" spans="1:28" s="42" customFormat="1">
      <c r="A360" s="2"/>
      <c r="C360" s="36"/>
      <c r="D360" s="62"/>
      <c r="E360" s="2"/>
      <c r="F360" s="95"/>
      <c r="G360" s="13"/>
      <c r="H360" s="2"/>
      <c r="I360" s="2"/>
      <c r="J360" s="2"/>
      <c r="K360" s="12"/>
      <c r="L360" s="13"/>
      <c r="M360" s="2"/>
      <c r="N360" s="43"/>
      <c r="O360" s="36"/>
      <c r="P360" s="9"/>
      <c r="Q360" s="5"/>
      <c r="R360" s="2"/>
      <c r="S360"/>
      <c r="T360"/>
      <c r="U360" s="1"/>
      <c r="V360"/>
      <c r="W360"/>
      <c r="X360"/>
      <c r="Y360"/>
      <c r="Z360"/>
      <c r="AA360" s="35"/>
      <c r="AB360" s="35"/>
    </row>
    <row r="361" spans="1:28" s="42" customFormat="1">
      <c r="A361" s="2"/>
      <c r="C361" s="36"/>
      <c r="D361" s="62"/>
      <c r="E361" s="2"/>
      <c r="F361" s="95"/>
      <c r="G361" s="13"/>
      <c r="H361" s="2"/>
      <c r="I361" s="2"/>
      <c r="J361" s="2"/>
      <c r="K361" s="12"/>
      <c r="L361" s="13"/>
      <c r="M361" s="2"/>
      <c r="N361" s="43"/>
      <c r="O361" s="36"/>
      <c r="P361" s="9"/>
      <c r="Q361" s="5"/>
      <c r="R361" s="2"/>
      <c r="S361"/>
      <c r="T361"/>
      <c r="U361" s="1"/>
      <c r="V361"/>
      <c r="W361"/>
      <c r="X361"/>
      <c r="Y361"/>
      <c r="Z361"/>
      <c r="AA361" s="35"/>
      <c r="AB361" s="35"/>
    </row>
    <row r="362" spans="1:28" s="42" customFormat="1">
      <c r="A362" s="2"/>
      <c r="C362" s="36"/>
      <c r="D362" s="62"/>
      <c r="E362" s="2"/>
      <c r="F362" s="95"/>
      <c r="G362" s="13"/>
      <c r="H362" s="2"/>
      <c r="I362" s="2"/>
      <c r="J362" s="2"/>
      <c r="K362" s="12"/>
      <c r="L362" s="13"/>
      <c r="M362" s="2"/>
      <c r="N362" s="43"/>
      <c r="O362" s="36"/>
      <c r="P362" s="9"/>
      <c r="Q362" s="5"/>
      <c r="R362" s="2"/>
      <c r="S362"/>
      <c r="T362"/>
      <c r="U362" s="1"/>
      <c r="V362"/>
      <c r="W362"/>
      <c r="X362"/>
      <c r="Y362"/>
      <c r="Z362"/>
      <c r="AA362" s="35"/>
      <c r="AB362" s="35"/>
    </row>
    <row r="363" spans="1:28" s="42" customFormat="1">
      <c r="A363" s="2"/>
      <c r="C363" s="36"/>
      <c r="D363" s="62"/>
      <c r="E363" s="2"/>
      <c r="F363" s="95"/>
      <c r="G363" s="13"/>
      <c r="H363" s="2"/>
      <c r="I363" s="2"/>
      <c r="J363" s="2"/>
      <c r="K363" s="12"/>
      <c r="L363" s="13"/>
      <c r="M363" s="2"/>
      <c r="N363" s="43"/>
      <c r="O363" s="36"/>
      <c r="P363" s="9"/>
      <c r="Q363" s="5"/>
      <c r="R363" s="2"/>
      <c r="S363"/>
      <c r="T363"/>
      <c r="U363" s="1"/>
      <c r="V363"/>
      <c r="W363"/>
      <c r="X363"/>
      <c r="Y363"/>
      <c r="Z363"/>
      <c r="AA363" s="35"/>
      <c r="AB363" s="35"/>
    </row>
    <row r="364" spans="1:28" s="42" customFormat="1">
      <c r="A364" s="2"/>
      <c r="C364" s="36"/>
      <c r="D364" s="62"/>
      <c r="E364" s="2"/>
      <c r="F364" s="95"/>
      <c r="G364" s="13"/>
      <c r="H364" s="2"/>
      <c r="I364" s="2"/>
      <c r="J364" s="2"/>
      <c r="K364" s="12"/>
      <c r="L364" s="13"/>
      <c r="M364" s="2"/>
      <c r="N364" s="43"/>
      <c r="O364" s="36"/>
      <c r="P364" s="9"/>
      <c r="Q364" s="5"/>
      <c r="R364" s="2"/>
      <c r="S364"/>
      <c r="T364"/>
      <c r="U364" s="1"/>
      <c r="V364"/>
      <c r="W364"/>
      <c r="X364"/>
      <c r="Y364"/>
      <c r="Z364"/>
      <c r="AA364" s="35"/>
      <c r="AB364" s="35"/>
    </row>
    <row r="365" spans="1:28" s="42" customFormat="1">
      <c r="A365" s="2"/>
      <c r="C365" s="36"/>
      <c r="D365" s="62"/>
      <c r="E365" s="2"/>
      <c r="F365" s="95"/>
      <c r="G365" s="13"/>
      <c r="H365" s="2"/>
      <c r="I365" s="2"/>
      <c r="J365" s="2"/>
      <c r="K365" s="12"/>
      <c r="L365" s="13"/>
      <c r="M365" s="2"/>
      <c r="N365" s="43"/>
      <c r="O365" s="36"/>
      <c r="P365" s="9"/>
      <c r="Q365" s="5"/>
      <c r="R365" s="2"/>
      <c r="S365"/>
      <c r="T365"/>
      <c r="U365" s="1"/>
      <c r="V365"/>
      <c r="W365"/>
      <c r="X365"/>
      <c r="Y365"/>
      <c r="Z365"/>
      <c r="AA365" s="35"/>
      <c r="AB365" s="35"/>
    </row>
    <row r="366" spans="1:28" s="42" customFormat="1">
      <c r="A366" s="2"/>
      <c r="C366" s="36"/>
      <c r="D366" s="62"/>
      <c r="E366" s="2"/>
      <c r="F366" s="95"/>
      <c r="G366" s="13"/>
      <c r="H366" s="2"/>
      <c r="I366" s="2"/>
      <c r="J366" s="2"/>
      <c r="K366" s="12"/>
      <c r="L366" s="13"/>
      <c r="M366" s="2"/>
      <c r="N366" s="43"/>
      <c r="O366" s="36"/>
      <c r="P366" s="9"/>
      <c r="Q366" s="5"/>
      <c r="R366" s="2"/>
      <c r="S366"/>
      <c r="T366"/>
      <c r="U366" s="1"/>
      <c r="V366"/>
      <c r="W366"/>
      <c r="X366"/>
      <c r="Y366"/>
      <c r="Z366"/>
      <c r="AA366" s="35"/>
      <c r="AB366" s="35"/>
    </row>
    <row r="367" spans="1:28" s="42" customFormat="1">
      <c r="A367" s="2"/>
      <c r="C367" s="36"/>
      <c r="D367" s="62"/>
      <c r="E367" s="2"/>
      <c r="F367" s="95"/>
      <c r="G367" s="13"/>
      <c r="H367" s="2"/>
      <c r="I367" s="2"/>
      <c r="J367" s="2"/>
      <c r="K367" s="12"/>
      <c r="L367" s="13"/>
      <c r="M367" s="2"/>
      <c r="N367" s="43"/>
      <c r="O367" s="36"/>
      <c r="P367" s="9"/>
      <c r="Q367" s="5"/>
      <c r="R367" s="2"/>
      <c r="S367"/>
      <c r="T367"/>
      <c r="U367" s="1"/>
      <c r="V367"/>
      <c r="W367"/>
      <c r="X367"/>
      <c r="Y367"/>
      <c r="Z367"/>
      <c r="AA367" s="35"/>
      <c r="AB367" s="35"/>
    </row>
    <row r="368" spans="1:28" s="42" customFormat="1">
      <c r="A368" s="2"/>
      <c r="C368" s="36"/>
      <c r="D368" s="62"/>
      <c r="E368" s="2"/>
      <c r="F368" s="95"/>
      <c r="G368" s="13"/>
      <c r="H368" s="2"/>
      <c r="I368" s="2"/>
      <c r="J368" s="2"/>
      <c r="K368" s="12"/>
      <c r="L368" s="13"/>
      <c r="M368" s="2"/>
      <c r="N368" s="43"/>
      <c r="O368" s="36"/>
      <c r="P368" s="9"/>
      <c r="Q368" s="5"/>
      <c r="R368" s="2"/>
      <c r="S368"/>
      <c r="T368"/>
      <c r="U368" s="1"/>
      <c r="V368"/>
      <c r="W368"/>
      <c r="X368"/>
      <c r="Y368"/>
      <c r="Z368"/>
      <c r="AA368" s="35"/>
      <c r="AB368" s="35"/>
    </row>
    <row r="369" spans="1:28" s="42" customFormat="1">
      <c r="A369" s="2"/>
      <c r="C369" s="36"/>
      <c r="D369" s="62"/>
      <c r="E369" s="2"/>
      <c r="F369" s="95"/>
      <c r="G369" s="13"/>
      <c r="H369" s="2"/>
      <c r="I369" s="2"/>
      <c r="J369" s="2"/>
      <c r="K369" s="12"/>
      <c r="L369" s="13"/>
      <c r="M369" s="2"/>
      <c r="N369" s="43"/>
      <c r="O369" s="36"/>
      <c r="P369" s="9"/>
      <c r="Q369" s="5"/>
      <c r="R369" s="2"/>
      <c r="S369"/>
      <c r="T369"/>
      <c r="U369" s="1"/>
      <c r="V369"/>
      <c r="W369"/>
      <c r="X369"/>
      <c r="Y369"/>
      <c r="Z369"/>
      <c r="AA369" s="35"/>
      <c r="AB369" s="35"/>
    </row>
    <row r="370" spans="1:28" s="42" customFormat="1">
      <c r="A370" s="2"/>
      <c r="C370" s="36"/>
      <c r="D370" s="62"/>
      <c r="E370" s="2"/>
      <c r="F370" s="95"/>
      <c r="G370" s="13"/>
      <c r="H370" s="2"/>
      <c r="I370" s="2"/>
      <c r="J370" s="2"/>
      <c r="K370" s="12"/>
      <c r="L370" s="13"/>
      <c r="M370" s="2"/>
      <c r="N370" s="43"/>
      <c r="O370" s="36"/>
      <c r="P370" s="9"/>
      <c r="Q370" s="5"/>
      <c r="R370" s="2"/>
      <c r="S370"/>
      <c r="T370"/>
      <c r="U370" s="1"/>
      <c r="V370"/>
      <c r="W370"/>
      <c r="X370"/>
      <c r="Y370"/>
      <c r="Z370"/>
      <c r="AA370" s="35"/>
      <c r="AB370" s="35"/>
    </row>
    <row r="371" spans="1:28" s="42" customFormat="1">
      <c r="A371" s="2"/>
      <c r="C371" s="36"/>
      <c r="D371" s="62"/>
      <c r="E371" s="2"/>
      <c r="F371" s="95"/>
      <c r="G371" s="13"/>
      <c r="H371" s="2"/>
      <c r="I371" s="2"/>
      <c r="J371" s="2"/>
      <c r="K371" s="12"/>
      <c r="L371" s="13"/>
      <c r="M371" s="2"/>
      <c r="N371" s="43"/>
      <c r="O371" s="36"/>
      <c r="P371" s="9"/>
      <c r="Q371" s="5"/>
      <c r="R371" s="2"/>
      <c r="S371"/>
      <c r="T371"/>
      <c r="U371" s="1"/>
      <c r="V371"/>
      <c r="W371"/>
      <c r="X371"/>
      <c r="Y371"/>
      <c r="Z371"/>
      <c r="AA371" s="35"/>
      <c r="AB371" s="35"/>
    </row>
    <row r="372" spans="1:28" s="42" customFormat="1">
      <c r="A372" s="2"/>
      <c r="C372" s="36"/>
      <c r="D372" s="62"/>
      <c r="E372" s="2"/>
      <c r="F372" s="95"/>
      <c r="G372" s="13"/>
      <c r="H372" s="2"/>
      <c r="I372" s="2"/>
      <c r="J372" s="2"/>
      <c r="K372" s="12"/>
      <c r="L372" s="13"/>
      <c r="M372" s="2"/>
      <c r="N372" s="43"/>
      <c r="O372" s="36"/>
      <c r="P372" s="9"/>
      <c r="Q372" s="5"/>
      <c r="R372" s="2"/>
      <c r="S372"/>
      <c r="T372"/>
      <c r="U372" s="1"/>
      <c r="V372"/>
      <c r="W372"/>
      <c r="X372"/>
      <c r="Y372"/>
      <c r="Z372"/>
      <c r="AA372" s="35"/>
      <c r="AB372" s="35"/>
    </row>
    <row r="373" spans="1:28" s="42" customFormat="1">
      <c r="A373" s="2"/>
      <c r="C373" s="36"/>
      <c r="D373" s="62"/>
      <c r="E373" s="2"/>
      <c r="F373" s="95"/>
      <c r="G373" s="13"/>
      <c r="H373" s="2"/>
      <c r="I373" s="2"/>
      <c r="J373" s="2"/>
      <c r="K373" s="12"/>
      <c r="L373" s="13"/>
      <c r="M373" s="2"/>
      <c r="N373" s="43"/>
      <c r="O373" s="36"/>
      <c r="P373" s="9"/>
      <c r="Q373" s="5"/>
      <c r="R373" s="2"/>
      <c r="S373"/>
      <c r="T373"/>
      <c r="U373" s="1"/>
      <c r="V373"/>
      <c r="W373"/>
      <c r="X373"/>
      <c r="Y373"/>
      <c r="Z373"/>
      <c r="AA373" s="35"/>
      <c r="AB373" s="35"/>
    </row>
    <row r="374" spans="1:28" s="42" customFormat="1">
      <c r="A374" s="2"/>
      <c r="C374" s="36"/>
      <c r="D374" s="62"/>
      <c r="E374" s="2"/>
      <c r="F374" s="95"/>
      <c r="G374" s="13"/>
      <c r="H374" s="2"/>
      <c r="I374" s="2"/>
      <c r="J374" s="2"/>
      <c r="K374" s="12"/>
      <c r="L374" s="13"/>
      <c r="M374" s="2"/>
      <c r="N374" s="43"/>
      <c r="O374" s="36"/>
      <c r="P374" s="9"/>
      <c r="Q374" s="5"/>
      <c r="R374" s="2"/>
      <c r="S374"/>
      <c r="T374"/>
      <c r="U374" s="1"/>
      <c r="V374"/>
      <c r="W374"/>
      <c r="X374"/>
      <c r="Y374"/>
      <c r="Z374"/>
      <c r="AA374" s="35"/>
      <c r="AB374" s="35"/>
    </row>
    <row r="375" spans="1:28" s="42" customFormat="1">
      <c r="A375" s="2"/>
      <c r="C375" s="36"/>
      <c r="D375" s="62"/>
      <c r="E375" s="2"/>
      <c r="F375" s="95"/>
      <c r="G375" s="13"/>
      <c r="H375" s="2"/>
      <c r="I375" s="2"/>
      <c r="J375" s="2"/>
      <c r="K375" s="12"/>
      <c r="L375" s="13"/>
      <c r="M375" s="2"/>
      <c r="N375" s="43"/>
      <c r="O375" s="36"/>
      <c r="P375" s="9"/>
      <c r="Q375" s="5"/>
      <c r="R375" s="2"/>
      <c r="S375"/>
      <c r="T375"/>
      <c r="U375" s="1"/>
      <c r="V375"/>
      <c r="W375"/>
      <c r="X375"/>
      <c r="Y375"/>
      <c r="Z375"/>
      <c r="AA375" s="35"/>
      <c r="AB375" s="35"/>
    </row>
    <row r="376" spans="1:28" s="42" customFormat="1">
      <c r="A376" s="2"/>
      <c r="C376" s="36"/>
      <c r="D376" s="62"/>
      <c r="E376" s="2"/>
      <c r="F376" s="95"/>
      <c r="G376" s="13"/>
      <c r="H376" s="2"/>
      <c r="I376" s="2"/>
      <c r="J376" s="2"/>
      <c r="K376" s="12"/>
      <c r="L376" s="13"/>
      <c r="M376" s="2"/>
      <c r="N376" s="43"/>
      <c r="O376" s="36"/>
      <c r="P376" s="9"/>
      <c r="Q376" s="5"/>
      <c r="R376" s="2"/>
      <c r="S376"/>
      <c r="T376"/>
      <c r="U376" s="1"/>
      <c r="V376"/>
      <c r="W376"/>
      <c r="X376"/>
      <c r="Y376"/>
      <c r="Z376"/>
      <c r="AA376" s="35"/>
      <c r="AB376" s="35"/>
    </row>
    <row r="377" spans="1:28" s="42" customFormat="1">
      <c r="A377" s="2"/>
      <c r="C377" s="36"/>
      <c r="D377" s="62"/>
      <c r="E377" s="2"/>
      <c r="F377" s="95"/>
      <c r="G377" s="13"/>
      <c r="H377" s="2"/>
      <c r="I377" s="2"/>
      <c r="J377" s="2"/>
      <c r="K377" s="12"/>
      <c r="L377" s="13"/>
      <c r="M377" s="2"/>
      <c r="N377" s="43"/>
      <c r="O377" s="36"/>
      <c r="P377" s="9"/>
      <c r="Q377" s="5"/>
      <c r="R377" s="2"/>
      <c r="S377"/>
      <c r="T377"/>
      <c r="U377" s="1"/>
      <c r="V377"/>
      <c r="W377"/>
      <c r="X377"/>
      <c r="Y377"/>
      <c r="Z377"/>
      <c r="AA377" s="35"/>
      <c r="AB377" s="35"/>
    </row>
    <row r="378" spans="1:28" s="42" customFormat="1">
      <c r="A378" s="2"/>
      <c r="C378" s="36"/>
      <c r="D378" s="62"/>
      <c r="E378" s="2"/>
      <c r="F378" s="95"/>
      <c r="G378" s="13"/>
      <c r="H378" s="2"/>
      <c r="I378" s="2"/>
      <c r="J378" s="2"/>
      <c r="K378" s="12"/>
      <c r="L378" s="13"/>
      <c r="M378" s="2"/>
      <c r="N378" s="43"/>
      <c r="O378" s="36"/>
      <c r="P378" s="9"/>
      <c r="Q378" s="5"/>
      <c r="R378" s="2"/>
      <c r="S378"/>
      <c r="T378"/>
      <c r="U378" s="1"/>
      <c r="V378"/>
      <c r="W378"/>
      <c r="X378"/>
      <c r="Y378"/>
      <c r="Z378"/>
      <c r="AA378" s="35"/>
      <c r="AB378" s="35"/>
    </row>
    <row r="379" spans="1:28" s="42" customFormat="1">
      <c r="A379" s="2"/>
      <c r="C379" s="36"/>
      <c r="D379" s="62"/>
      <c r="E379" s="2"/>
      <c r="F379" s="95"/>
      <c r="G379" s="13"/>
      <c r="H379" s="2"/>
      <c r="I379" s="2"/>
      <c r="J379" s="2"/>
      <c r="K379" s="12"/>
      <c r="L379" s="13"/>
      <c r="M379" s="2"/>
      <c r="N379" s="43"/>
      <c r="O379" s="36"/>
      <c r="P379" s="9"/>
      <c r="Q379" s="5"/>
      <c r="R379" s="2"/>
      <c r="S379"/>
      <c r="T379"/>
      <c r="U379" s="1"/>
      <c r="V379"/>
      <c r="W379"/>
      <c r="X379"/>
      <c r="Y379"/>
      <c r="Z379"/>
      <c r="AA379" s="35"/>
      <c r="AB379" s="35"/>
    </row>
    <row r="380" spans="1:28" s="42" customFormat="1">
      <c r="A380" s="2"/>
      <c r="C380" s="36"/>
      <c r="D380" s="62"/>
      <c r="E380" s="2"/>
      <c r="F380" s="95"/>
      <c r="G380" s="13"/>
      <c r="H380" s="2"/>
      <c r="I380" s="2"/>
      <c r="J380" s="2"/>
      <c r="K380" s="12"/>
      <c r="L380" s="13"/>
      <c r="M380" s="2"/>
      <c r="N380" s="43"/>
      <c r="O380" s="36"/>
      <c r="P380" s="9"/>
      <c r="Q380" s="5"/>
      <c r="R380" s="2"/>
      <c r="S380"/>
      <c r="T380"/>
      <c r="U380" s="1"/>
      <c r="V380"/>
      <c r="W380"/>
      <c r="X380"/>
      <c r="Y380"/>
      <c r="Z380"/>
      <c r="AA380" s="35"/>
      <c r="AB380" s="35"/>
    </row>
    <row r="381" spans="1:28" s="42" customFormat="1">
      <c r="A381" s="2"/>
      <c r="C381" s="36"/>
      <c r="D381" s="62"/>
      <c r="E381" s="2"/>
      <c r="F381" s="95"/>
      <c r="G381" s="13"/>
      <c r="H381" s="2"/>
      <c r="I381" s="2"/>
      <c r="J381" s="2"/>
      <c r="K381" s="12"/>
      <c r="L381" s="13"/>
      <c r="M381" s="2"/>
      <c r="N381" s="43"/>
      <c r="O381" s="36"/>
      <c r="P381" s="9"/>
      <c r="Q381" s="5"/>
      <c r="R381" s="2"/>
      <c r="S381"/>
      <c r="T381"/>
      <c r="U381" s="1"/>
      <c r="V381"/>
      <c r="W381"/>
      <c r="X381"/>
      <c r="Y381"/>
      <c r="Z381"/>
      <c r="AA381" s="35"/>
      <c r="AB381" s="35"/>
    </row>
    <row r="382" spans="1:28" s="42" customFormat="1">
      <c r="A382" s="2"/>
      <c r="C382" s="36"/>
      <c r="D382" s="62"/>
      <c r="E382" s="2"/>
      <c r="F382" s="95"/>
      <c r="G382" s="13"/>
      <c r="H382" s="2"/>
      <c r="I382" s="2"/>
      <c r="J382" s="2"/>
      <c r="K382" s="12"/>
      <c r="L382" s="13"/>
      <c r="M382" s="2"/>
      <c r="N382" s="43"/>
      <c r="O382" s="36"/>
      <c r="P382" s="9"/>
      <c r="Q382" s="5"/>
      <c r="R382" s="2"/>
      <c r="S382"/>
      <c r="T382"/>
      <c r="U382" s="1"/>
      <c r="V382"/>
      <c r="W382"/>
      <c r="X382"/>
      <c r="Y382"/>
      <c r="Z382"/>
      <c r="AA382" s="35"/>
      <c r="AB382" s="35"/>
    </row>
    <row r="383" spans="1:28" s="42" customFormat="1">
      <c r="A383" s="2"/>
      <c r="C383" s="36"/>
      <c r="D383" s="62"/>
      <c r="E383" s="2"/>
      <c r="F383" s="95"/>
      <c r="G383" s="13"/>
      <c r="H383" s="2"/>
      <c r="I383" s="2"/>
      <c r="J383" s="2"/>
      <c r="K383" s="12"/>
      <c r="L383" s="13"/>
      <c r="M383" s="2"/>
      <c r="N383" s="43"/>
      <c r="O383" s="36"/>
      <c r="P383" s="9"/>
      <c r="Q383" s="5"/>
      <c r="R383" s="2"/>
      <c r="S383"/>
      <c r="T383"/>
      <c r="U383" s="1"/>
      <c r="V383"/>
      <c r="W383"/>
      <c r="X383"/>
      <c r="Y383"/>
      <c r="Z383"/>
      <c r="AA383" s="35"/>
      <c r="AB383" s="35"/>
    </row>
    <row r="384" spans="1:28" s="42" customFormat="1">
      <c r="A384" s="2"/>
      <c r="C384" s="36"/>
      <c r="D384" s="62"/>
      <c r="E384" s="2"/>
      <c r="F384" s="95"/>
      <c r="G384" s="13"/>
      <c r="H384" s="2"/>
      <c r="I384" s="2"/>
      <c r="J384" s="2"/>
      <c r="K384" s="12"/>
      <c r="L384" s="13"/>
      <c r="M384" s="2"/>
      <c r="N384" s="43"/>
      <c r="O384" s="36"/>
      <c r="P384" s="9"/>
      <c r="Q384" s="5"/>
      <c r="R384" s="2"/>
      <c r="S384"/>
      <c r="T384"/>
      <c r="U384" s="1"/>
      <c r="V384"/>
      <c r="W384"/>
      <c r="X384"/>
      <c r="Y384"/>
      <c r="Z384"/>
      <c r="AA384" s="35"/>
      <c r="AB384" s="35"/>
    </row>
    <row r="385" spans="1:28" s="42" customFormat="1">
      <c r="A385" s="2"/>
      <c r="C385" s="36"/>
      <c r="D385" s="62"/>
      <c r="E385" s="2"/>
      <c r="F385" s="95"/>
      <c r="G385" s="13"/>
      <c r="H385" s="2"/>
      <c r="I385" s="2"/>
      <c r="J385" s="2"/>
      <c r="K385" s="12"/>
      <c r="L385" s="13"/>
      <c r="M385" s="2"/>
      <c r="N385" s="43"/>
      <c r="O385" s="36"/>
      <c r="P385" s="9"/>
      <c r="Q385" s="5"/>
      <c r="R385" s="2"/>
      <c r="S385"/>
      <c r="T385"/>
      <c r="U385" s="1"/>
      <c r="V385"/>
      <c r="W385"/>
      <c r="X385"/>
      <c r="Y385"/>
      <c r="Z385"/>
      <c r="AA385" s="35"/>
      <c r="AB385" s="35"/>
    </row>
    <row r="386" spans="1:28" s="42" customFormat="1">
      <c r="A386" s="2"/>
      <c r="C386" s="36"/>
      <c r="D386" s="62"/>
      <c r="E386" s="2"/>
      <c r="F386" s="95"/>
      <c r="G386" s="13"/>
      <c r="H386" s="2"/>
      <c r="I386" s="2"/>
      <c r="J386" s="2"/>
      <c r="K386" s="12"/>
      <c r="L386" s="13"/>
      <c r="M386" s="2"/>
      <c r="N386" s="43"/>
      <c r="O386" s="36"/>
      <c r="P386" s="9"/>
      <c r="Q386" s="5"/>
      <c r="R386" s="2"/>
      <c r="S386"/>
      <c r="T386"/>
      <c r="U386" s="1"/>
      <c r="V386"/>
      <c r="W386"/>
      <c r="X386"/>
      <c r="Y386"/>
      <c r="Z386"/>
      <c r="AA386" s="35"/>
      <c r="AB386" s="35"/>
    </row>
    <row r="387" spans="1:28" s="42" customFormat="1">
      <c r="A387" s="2"/>
      <c r="C387" s="36"/>
      <c r="D387" s="62"/>
      <c r="E387" s="2"/>
      <c r="F387" s="95"/>
      <c r="G387" s="13"/>
      <c r="H387" s="2"/>
      <c r="I387" s="2"/>
      <c r="J387" s="2"/>
      <c r="K387" s="12"/>
      <c r="L387" s="13"/>
      <c r="M387" s="2"/>
      <c r="N387" s="43"/>
      <c r="O387" s="36"/>
      <c r="P387" s="9"/>
      <c r="Q387" s="5"/>
      <c r="R387" s="2"/>
      <c r="S387"/>
      <c r="T387"/>
      <c r="U387" s="1"/>
      <c r="V387"/>
      <c r="W387"/>
      <c r="X387"/>
      <c r="Y387"/>
      <c r="Z387"/>
      <c r="AA387" s="35"/>
      <c r="AB387" s="35"/>
    </row>
    <row r="388" spans="1:28" s="42" customFormat="1">
      <c r="A388" s="2"/>
      <c r="C388" s="36"/>
      <c r="D388" s="62"/>
      <c r="E388" s="2"/>
      <c r="F388" s="95"/>
      <c r="G388" s="13"/>
      <c r="H388" s="2"/>
      <c r="I388" s="2"/>
      <c r="J388" s="2"/>
      <c r="K388" s="12"/>
      <c r="L388" s="13"/>
      <c r="M388" s="2"/>
      <c r="N388" s="43"/>
      <c r="O388" s="36"/>
      <c r="P388" s="9"/>
      <c r="Q388" s="5"/>
      <c r="R388" s="2"/>
      <c r="S388"/>
      <c r="T388"/>
      <c r="U388" s="1"/>
      <c r="V388"/>
      <c r="W388"/>
      <c r="X388"/>
      <c r="Y388"/>
      <c r="Z388"/>
      <c r="AA388" s="35"/>
      <c r="AB388" s="35"/>
    </row>
    <row r="389" spans="1:28" s="42" customFormat="1">
      <c r="A389" s="2"/>
      <c r="C389" s="36"/>
      <c r="D389" s="62"/>
      <c r="E389" s="2"/>
      <c r="F389" s="95"/>
      <c r="G389" s="13"/>
      <c r="H389" s="2"/>
      <c r="I389" s="2"/>
      <c r="J389" s="2"/>
      <c r="K389" s="12"/>
      <c r="L389" s="13"/>
      <c r="M389" s="2"/>
      <c r="N389" s="43"/>
      <c r="O389" s="36"/>
      <c r="P389" s="9"/>
      <c r="Q389" s="5"/>
      <c r="R389" s="2"/>
      <c r="S389"/>
      <c r="T389"/>
      <c r="U389" s="1"/>
      <c r="V389"/>
      <c r="W389"/>
      <c r="X389"/>
      <c r="Y389"/>
      <c r="Z389"/>
      <c r="AA389" s="35"/>
      <c r="AB389" s="35"/>
    </row>
    <row r="390" spans="1:28" s="42" customFormat="1">
      <c r="A390" s="2"/>
      <c r="C390" s="36"/>
      <c r="D390" s="62"/>
      <c r="E390" s="2"/>
      <c r="F390" s="95"/>
      <c r="G390" s="13"/>
      <c r="H390" s="2"/>
      <c r="I390" s="2"/>
      <c r="J390" s="2"/>
      <c r="K390" s="12"/>
      <c r="L390" s="13"/>
      <c r="M390" s="2"/>
      <c r="N390" s="43"/>
      <c r="O390" s="36"/>
      <c r="P390" s="9"/>
      <c r="Q390" s="5"/>
      <c r="R390" s="2"/>
      <c r="S390"/>
      <c r="T390"/>
      <c r="U390" s="1"/>
      <c r="V390"/>
      <c r="W390"/>
      <c r="X390"/>
      <c r="Y390"/>
      <c r="Z390"/>
      <c r="AA390" s="35"/>
      <c r="AB390" s="35"/>
    </row>
    <row r="391" spans="1:28" s="42" customFormat="1">
      <c r="A391" s="2"/>
      <c r="C391" s="36"/>
      <c r="D391" s="62"/>
      <c r="E391" s="2"/>
      <c r="F391" s="95"/>
      <c r="G391" s="13"/>
      <c r="H391" s="2"/>
      <c r="I391" s="2"/>
      <c r="J391" s="2"/>
      <c r="K391" s="12"/>
      <c r="L391" s="13"/>
      <c r="M391" s="2"/>
      <c r="N391" s="43"/>
      <c r="O391" s="36"/>
      <c r="P391" s="9"/>
      <c r="Q391" s="5"/>
      <c r="R391" s="2"/>
      <c r="S391"/>
      <c r="T391"/>
      <c r="U391" s="1"/>
      <c r="V391"/>
      <c r="W391"/>
      <c r="X391"/>
      <c r="Y391"/>
      <c r="Z391"/>
      <c r="AA391" s="35"/>
      <c r="AB391" s="35"/>
    </row>
    <row r="392" spans="1:28" s="42" customFormat="1">
      <c r="A392" s="2"/>
      <c r="C392" s="36"/>
      <c r="D392" s="62"/>
      <c r="E392" s="2"/>
      <c r="F392" s="95"/>
      <c r="G392" s="13"/>
      <c r="H392" s="2"/>
      <c r="I392" s="2"/>
      <c r="J392" s="2"/>
      <c r="K392" s="12"/>
      <c r="L392" s="13"/>
      <c r="M392" s="2"/>
      <c r="N392" s="43"/>
      <c r="O392" s="36"/>
      <c r="P392" s="9"/>
      <c r="Q392" s="5"/>
      <c r="R392" s="2"/>
      <c r="S392"/>
      <c r="T392"/>
      <c r="U392" s="1"/>
      <c r="V392"/>
      <c r="W392"/>
      <c r="X392"/>
      <c r="Y392"/>
      <c r="Z392"/>
      <c r="AA392" s="35"/>
      <c r="AB392" s="35"/>
    </row>
    <row r="393" spans="1:28" s="42" customFormat="1">
      <c r="A393" s="2"/>
      <c r="C393" s="36"/>
      <c r="D393" s="62"/>
      <c r="E393" s="2"/>
      <c r="F393" s="95"/>
      <c r="G393" s="13"/>
      <c r="H393" s="2"/>
      <c r="I393" s="2"/>
      <c r="J393" s="2"/>
      <c r="K393" s="12"/>
      <c r="L393" s="13"/>
      <c r="M393" s="2"/>
      <c r="N393" s="43"/>
      <c r="O393" s="36"/>
      <c r="P393" s="9"/>
      <c r="Q393" s="5"/>
      <c r="R393" s="2"/>
      <c r="S393"/>
      <c r="T393"/>
      <c r="U393" s="1"/>
      <c r="V393"/>
      <c r="W393"/>
      <c r="X393"/>
      <c r="Y393"/>
      <c r="Z393"/>
      <c r="AA393" s="35"/>
      <c r="AB393" s="35"/>
    </row>
    <row r="394" spans="1:28" s="42" customFormat="1">
      <c r="A394" s="2"/>
      <c r="C394" s="36"/>
      <c r="D394" s="62"/>
      <c r="E394" s="2"/>
      <c r="F394" s="95"/>
      <c r="G394" s="13"/>
      <c r="H394" s="2"/>
      <c r="I394" s="2"/>
      <c r="J394" s="2"/>
      <c r="K394" s="12"/>
      <c r="L394" s="13"/>
      <c r="M394" s="2"/>
      <c r="N394" s="43"/>
      <c r="O394" s="36"/>
      <c r="P394" s="9"/>
      <c r="Q394" s="5"/>
      <c r="R394" s="2"/>
      <c r="S394"/>
      <c r="T394"/>
      <c r="U394" s="1"/>
      <c r="V394"/>
      <c r="W394"/>
      <c r="X394"/>
      <c r="Y394"/>
      <c r="Z394"/>
      <c r="AA394" s="35"/>
      <c r="AB394" s="35"/>
    </row>
    <row r="395" spans="1:28" s="42" customFormat="1">
      <c r="A395" s="2"/>
      <c r="C395" s="36"/>
      <c r="D395" s="62"/>
      <c r="E395" s="2"/>
      <c r="F395" s="95"/>
      <c r="G395" s="13"/>
      <c r="H395" s="2"/>
      <c r="I395" s="2"/>
      <c r="J395" s="2"/>
      <c r="K395" s="12"/>
      <c r="L395" s="13"/>
      <c r="M395" s="2"/>
      <c r="N395" s="43"/>
      <c r="O395" s="36"/>
      <c r="P395" s="9"/>
      <c r="Q395" s="5"/>
      <c r="R395" s="2"/>
      <c r="S395"/>
      <c r="T395"/>
      <c r="U395" s="1"/>
      <c r="V395"/>
      <c r="W395"/>
      <c r="X395"/>
      <c r="Y395"/>
      <c r="Z395"/>
      <c r="AA395" s="35"/>
      <c r="AB395" s="35"/>
    </row>
    <row r="396" spans="1:28" s="42" customFormat="1">
      <c r="A396" s="2"/>
      <c r="C396" s="36"/>
      <c r="D396" s="62"/>
      <c r="E396" s="2"/>
      <c r="F396" s="95"/>
      <c r="G396" s="13"/>
      <c r="H396" s="2"/>
      <c r="I396" s="2"/>
      <c r="J396" s="2"/>
      <c r="K396" s="12"/>
      <c r="L396" s="13"/>
      <c r="M396" s="2"/>
      <c r="N396" s="43"/>
      <c r="O396" s="36"/>
      <c r="P396" s="9"/>
      <c r="Q396" s="5"/>
      <c r="R396" s="2"/>
      <c r="S396"/>
      <c r="T396"/>
      <c r="U396" s="1"/>
      <c r="V396"/>
      <c r="W396"/>
      <c r="X396"/>
      <c r="Y396"/>
      <c r="Z396"/>
      <c r="AA396" s="35"/>
      <c r="AB396" s="35"/>
    </row>
    <row r="397" spans="1:28" s="42" customFormat="1">
      <c r="A397" s="2"/>
      <c r="C397" s="36"/>
      <c r="D397" s="62"/>
      <c r="E397" s="2"/>
      <c r="F397" s="95"/>
      <c r="G397" s="13"/>
      <c r="H397" s="2"/>
      <c r="I397" s="2"/>
      <c r="J397" s="2"/>
      <c r="K397" s="12"/>
      <c r="L397" s="13"/>
      <c r="M397" s="2"/>
      <c r="N397" s="43"/>
      <c r="O397" s="36"/>
      <c r="P397" s="9"/>
      <c r="Q397" s="5"/>
      <c r="R397" s="2"/>
      <c r="S397"/>
      <c r="T397"/>
      <c r="U397" s="1"/>
      <c r="V397"/>
      <c r="W397"/>
      <c r="X397"/>
      <c r="Y397"/>
      <c r="Z397"/>
      <c r="AA397" s="35"/>
      <c r="AB397" s="35"/>
    </row>
    <row r="398" spans="1:28" s="42" customFormat="1">
      <c r="A398" s="2"/>
      <c r="C398" s="36"/>
      <c r="D398" s="62"/>
      <c r="E398" s="2"/>
      <c r="F398" s="95"/>
      <c r="G398" s="13"/>
      <c r="H398" s="2"/>
      <c r="I398" s="2"/>
      <c r="J398" s="2"/>
      <c r="K398" s="12"/>
      <c r="L398" s="13"/>
      <c r="M398" s="2"/>
      <c r="N398" s="43"/>
      <c r="O398" s="36"/>
      <c r="P398" s="9"/>
      <c r="Q398" s="5"/>
      <c r="R398" s="2"/>
      <c r="S398"/>
      <c r="T398"/>
      <c r="U398" s="1"/>
      <c r="V398"/>
      <c r="W398"/>
      <c r="X398"/>
      <c r="Y398"/>
      <c r="Z398"/>
      <c r="AA398" s="35"/>
      <c r="AB398" s="35"/>
    </row>
    <row r="399" spans="1:28" s="42" customFormat="1">
      <c r="A399" s="2"/>
      <c r="C399" s="36"/>
      <c r="D399" s="62"/>
      <c r="E399" s="2"/>
      <c r="F399" s="95"/>
      <c r="G399" s="13"/>
      <c r="H399" s="2"/>
      <c r="I399" s="2"/>
      <c r="J399" s="2"/>
      <c r="K399" s="12"/>
      <c r="L399" s="13"/>
      <c r="M399" s="2"/>
      <c r="N399" s="43"/>
      <c r="O399" s="36"/>
      <c r="P399" s="9"/>
      <c r="Q399" s="5"/>
      <c r="R399" s="2"/>
      <c r="S399"/>
      <c r="T399"/>
      <c r="U399" s="1"/>
      <c r="V399"/>
      <c r="W399"/>
      <c r="X399"/>
      <c r="Y399"/>
      <c r="Z399"/>
      <c r="AA399" s="35"/>
      <c r="AB399" s="35"/>
    </row>
    <row r="400" spans="1:28" s="42" customFormat="1">
      <c r="A400" s="2"/>
      <c r="C400" s="36"/>
      <c r="D400" s="62"/>
      <c r="E400" s="2"/>
      <c r="F400" s="95"/>
      <c r="G400" s="13"/>
      <c r="H400" s="2"/>
      <c r="I400" s="2"/>
      <c r="J400" s="2"/>
      <c r="K400" s="12"/>
      <c r="L400" s="13"/>
      <c r="M400" s="2"/>
      <c r="N400" s="43"/>
      <c r="O400" s="36"/>
      <c r="P400" s="9"/>
      <c r="Q400" s="5"/>
      <c r="R400" s="2"/>
      <c r="S400"/>
      <c r="T400"/>
      <c r="U400" s="1"/>
      <c r="V400"/>
      <c r="W400"/>
      <c r="X400"/>
      <c r="Y400"/>
      <c r="Z400"/>
      <c r="AA400" s="35"/>
      <c r="AB400" s="35"/>
    </row>
    <row r="401" spans="1:28" s="42" customFormat="1">
      <c r="A401" s="2"/>
      <c r="C401" s="36"/>
      <c r="D401" s="62"/>
      <c r="E401" s="2"/>
      <c r="F401" s="95"/>
      <c r="G401" s="13"/>
      <c r="H401" s="2"/>
      <c r="I401" s="2"/>
      <c r="J401" s="2"/>
      <c r="K401" s="12"/>
      <c r="L401" s="13"/>
      <c r="M401" s="2"/>
      <c r="N401" s="43"/>
      <c r="O401" s="36"/>
      <c r="P401" s="9"/>
      <c r="Q401" s="5"/>
      <c r="R401" s="2"/>
      <c r="S401"/>
      <c r="T401"/>
      <c r="U401" s="1"/>
      <c r="V401"/>
      <c r="W401"/>
      <c r="X401"/>
      <c r="Y401"/>
      <c r="Z401"/>
      <c r="AA401" s="35"/>
      <c r="AB401" s="35"/>
    </row>
    <row r="402" spans="1:28" s="42" customFormat="1">
      <c r="A402" s="2"/>
      <c r="C402" s="36"/>
      <c r="D402" s="62"/>
      <c r="E402" s="2"/>
      <c r="F402" s="95"/>
      <c r="G402" s="13"/>
      <c r="H402" s="2"/>
      <c r="I402" s="2"/>
      <c r="J402" s="2"/>
      <c r="K402" s="12"/>
      <c r="L402" s="13"/>
      <c r="M402" s="2"/>
      <c r="N402" s="43"/>
      <c r="O402" s="36"/>
      <c r="P402" s="9"/>
      <c r="Q402" s="5"/>
      <c r="R402" s="2"/>
      <c r="S402"/>
      <c r="T402"/>
      <c r="U402" s="1"/>
      <c r="V402"/>
      <c r="W402"/>
      <c r="X402"/>
      <c r="Y402"/>
      <c r="Z402"/>
      <c r="AA402" s="35"/>
      <c r="AB402" s="35"/>
    </row>
    <row r="403" spans="1:28" s="42" customFormat="1">
      <c r="A403" s="2"/>
      <c r="C403" s="36"/>
      <c r="D403" s="62"/>
      <c r="E403" s="2"/>
      <c r="F403" s="95"/>
      <c r="G403" s="13"/>
      <c r="H403" s="2"/>
      <c r="I403" s="2"/>
      <c r="J403" s="2"/>
      <c r="K403" s="12"/>
      <c r="L403" s="13"/>
      <c r="M403" s="2"/>
      <c r="N403" s="43"/>
      <c r="O403" s="36"/>
      <c r="P403" s="9"/>
      <c r="Q403" s="5"/>
      <c r="R403" s="2"/>
      <c r="S403"/>
      <c r="T403"/>
      <c r="U403" s="1"/>
      <c r="V403"/>
      <c r="W403"/>
      <c r="X403"/>
      <c r="Y403"/>
      <c r="Z403"/>
      <c r="AA403" s="35"/>
      <c r="AB403" s="35"/>
    </row>
    <row r="404" spans="1:28" s="42" customFormat="1">
      <c r="A404" s="2"/>
      <c r="C404" s="36"/>
      <c r="D404" s="62"/>
      <c r="E404" s="2"/>
      <c r="F404" s="95"/>
      <c r="G404" s="13"/>
      <c r="H404" s="2"/>
      <c r="I404" s="2"/>
      <c r="J404" s="2"/>
      <c r="K404" s="12"/>
      <c r="L404" s="13"/>
      <c r="M404" s="2"/>
      <c r="N404" s="43"/>
      <c r="O404" s="36"/>
      <c r="P404" s="9"/>
      <c r="Q404" s="5"/>
      <c r="R404" s="2"/>
      <c r="S404"/>
      <c r="T404"/>
      <c r="U404" s="1"/>
      <c r="V404"/>
      <c r="W404"/>
      <c r="X404"/>
      <c r="Y404"/>
      <c r="Z404"/>
      <c r="AA404" s="35"/>
      <c r="AB404" s="35"/>
    </row>
    <row r="405" spans="1:28" s="42" customFormat="1">
      <c r="A405" s="2"/>
      <c r="C405" s="36"/>
      <c r="D405" s="62"/>
      <c r="E405" s="2"/>
      <c r="F405" s="95"/>
      <c r="G405" s="13"/>
      <c r="H405" s="2"/>
      <c r="I405" s="2"/>
      <c r="J405" s="2"/>
      <c r="K405" s="12"/>
      <c r="L405" s="13"/>
      <c r="M405" s="2"/>
      <c r="N405" s="43"/>
      <c r="O405" s="36"/>
      <c r="P405" s="9"/>
      <c r="Q405" s="5"/>
      <c r="R405" s="2"/>
      <c r="S405"/>
      <c r="T405"/>
      <c r="U405" s="1"/>
      <c r="V405"/>
      <c r="W405"/>
      <c r="X405"/>
      <c r="Y405"/>
      <c r="Z405"/>
      <c r="AA405" s="35"/>
      <c r="AB405" s="35"/>
    </row>
    <row r="406" spans="1:28" s="42" customFormat="1">
      <c r="A406" s="2"/>
      <c r="C406" s="36"/>
      <c r="D406" s="62"/>
      <c r="E406" s="2"/>
      <c r="F406" s="95"/>
      <c r="G406" s="13"/>
      <c r="H406" s="2"/>
      <c r="I406" s="2"/>
      <c r="J406" s="2"/>
      <c r="K406" s="12"/>
      <c r="L406" s="13"/>
      <c r="M406" s="2"/>
      <c r="N406" s="43"/>
      <c r="O406" s="36"/>
      <c r="P406" s="9"/>
      <c r="Q406" s="5"/>
      <c r="R406" s="2"/>
      <c r="S406"/>
      <c r="T406"/>
      <c r="U406" s="1"/>
      <c r="V406"/>
      <c r="W406"/>
      <c r="X406"/>
      <c r="Y406"/>
      <c r="Z406"/>
      <c r="AA406" s="35"/>
      <c r="AB406" s="35"/>
    </row>
    <row r="407" spans="1:28" s="42" customFormat="1">
      <c r="A407" s="2"/>
      <c r="C407" s="36"/>
      <c r="D407" s="62"/>
      <c r="E407" s="2"/>
      <c r="F407" s="95"/>
      <c r="G407" s="13"/>
      <c r="H407" s="2"/>
      <c r="I407" s="2"/>
      <c r="J407" s="2"/>
      <c r="K407" s="12"/>
      <c r="L407" s="13"/>
      <c r="M407" s="2"/>
      <c r="N407" s="43"/>
      <c r="O407" s="36"/>
      <c r="P407" s="9"/>
      <c r="Q407" s="5"/>
      <c r="R407" s="2"/>
      <c r="S407"/>
      <c r="T407"/>
      <c r="U407" s="1"/>
      <c r="V407"/>
      <c r="W407"/>
      <c r="X407"/>
      <c r="Y407"/>
      <c r="Z407"/>
      <c r="AA407" s="35"/>
      <c r="AB407" s="3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4FF9-D2F1-450B-9444-1AD9A4F49137}">
  <sheetPr>
    <tabColor rgb="FFFFFF00"/>
  </sheetPr>
  <dimension ref="A2:AC193"/>
  <sheetViews>
    <sheetView topLeftCell="V138" workbookViewId="0">
      <selection activeCell="AC93" sqref="AC93"/>
    </sheetView>
  </sheetViews>
  <sheetFormatPr defaultRowHeight="14.25"/>
  <cols>
    <col min="2" max="3" width="0" hidden="1" customWidth="1"/>
    <col min="5" max="21" width="0" hidden="1" customWidth="1"/>
    <col min="22" max="22" width="9.06640625" style="206"/>
  </cols>
  <sheetData>
    <row r="2" spans="1:29" ht="66">
      <c r="A2" s="143" t="s">
        <v>5</v>
      </c>
      <c r="B2" s="144" t="s">
        <v>276</v>
      </c>
      <c r="C2" s="145" t="s">
        <v>277</v>
      </c>
      <c r="D2" s="146" t="s">
        <v>278</v>
      </c>
      <c r="E2" s="144" t="s">
        <v>291</v>
      </c>
      <c r="F2" s="147" t="s">
        <v>273</v>
      </c>
      <c r="G2" s="148" t="s">
        <v>279</v>
      </c>
      <c r="H2" s="144" t="s">
        <v>280</v>
      </c>
      <c r="I2" s="144" t="s">
        <v>281</v>
      </c>
      <c r="J2" s="144" t="s">
        <v>282</v>
      </c>
      <c r="K2" s="149" t="s">
        <v>274</v>
      </c>
      <c r="L2" s="148" t="s">
        <v>283</v>
      </c>
      <c r="M2" s="144" t="s">
        <v>284</v>
      </c>
      <c r="N2" s="144" t="s">
        <v>332</v>
      </c>
      <c r="O2" s="145" t="s">
        <v>287</v>
      </c>
      <c r="P2" s="148" t="s">
        <v>285</v>
      </c>
      <c r="Q2" s="144" t="s">
        <v>286</v>
      </c>
      <c r="R2" s="144" t="s">
        <v>275</v>
      </c>
      <c r="S2" s="144" t="s">
        <v>585</v>
      </c>
      <c r="T2" s="144" t="s">
        <v>587</v>
      </c>
      <c r="U2" s="145" t="s">
        <v>586</v>
      </c>
      <c r="AA2" t="s">
        <v>5</v>
      </c>
      <c r="AB2" t="s">
        <v>809</v>
      </c>
      <c r="AC2" t="s">
        <v>810</v>
      </c>
    </row>
    <row r="3" spans="1:29">
      <c r="A3" s="143">
        <v>1573</v>
      </c>
      <c r="B3" s="144"/>
      <c r="C3" s="145"/>
      <c r="D3" s="146">
        <v>6.8333333333333336E-3</v>
      </c>
      <c r="E3" s="144"/>
      <c r="F3" s="147"/>
      <c r="G3" s="148"/>
      <c r="H3" s="144"/>
      <c r="I3" s="144"/>
      <c r="J3" s="144"/>
      <c r="K3" s="149"/>
      <c r="L3" s="148"/>
      <c r="M3" s="144"/>
      <c r="N3" s="144"/>
      <c r="O3" s="145"/>
      <c r="P3" s="148"/>
      <c r="Q3" s="144"/>
      <c r="R3" s="144"/>
      <c r="S3" s="144">
        <v>1</v>
      </c>
      <c r="T3" s="144">
        <v>24.72</v>
      </c>
      <c r="U3" s="145"/>
      <c r="V3" s="206">
        <f t="shared" ref="V3:V12" si="0">D3*S3*T3/100</f>
        <v>1.6891999999999999E-3</v>
      </c>
      <c r="AA3">
        <v>1573</v>
      </c>
      <c r="AB3">
        <v>6.8333333333333336E-3</v>
      </c>
      <c r="AC3">
        <v>1.6891999999999999E-3</v>
      </c>
    </row>
    <row r="4" spans="1:29">
      <c r="A4" s="143">
        <v>1574</v>
      </c>
      <c r="B4" s="144"/>
      <c r="C4" s="145"/>
      <c r="D4" s="146">
        <v>8.0000000000000002E-3</v>
      </c>
      <c r="E4" s="144"/>
      <c r="F4" s="147"/>
      <c r="G4" s="148"/>
      <c r="H4" s="144"/>
      <c r="I4" s="144"/>
      <c r="J4" s="144"/>
      <c r="K4" s="149"/>
      <c r="L4" s="148"/>
      <c r="M4" s="144"/>
      <c r="N4" s="144"/>
      <c r="O4" s="145"/>
      <c r="P4" s="148"/>
      <c r="Q4" s="144"/>
      <c r="R4" s="144"/>
      <c r="S4" s="144">
        <v>1</v>
      </c>
      <c r="T4" s="144">
        <v>24.72</v>
      </c>
      <c r="U4" s="145"/>
      <c r="V4" s="206">
        <f t="shared" si="0"/>
        <v>1.9775999999999999E-3</v>
      </c>
      <c r="AA4">
        <v>1574</v>
      </c>
      <c r="AB4">
        <v>8.0000000000000002E-3</v>
      </c>
      <c r="AC4">
        <v>1.9775999999999999E-3</v>
      </c>
    </row>
    <row r="5" spans="1:29">
      <c r="A5" s="143">
        <v>1576</v>
      </c>
      <c r="B5" s="144"/>
      <c r="C5" s="145"/>
      <c r="D5" s="146">
        <v>0.01</v>
      </c>
      <c r="E5" s="144"/>
      <c r="F5" s="147"/>
      <c r="G5" s="148"/>
      <c r="H5" s="144"/>
      <c r="I5" s="144"/>
      <c r="J5" s="144"/>
      <c r="K5" s="149"/>
      <c r="L5" s="148"/>
      <c r="M5" s="144"/>
      <c r="N5" s="144"/>
      <c r="O5" s="145"/>
      <c r="P5" s="148"/>
      <c r="Q5" s="144"/>
      <c r="R5" s="144"/>
      <c r="S5" s="144">
        <v>1</v>
      </c>
      <c r="T5" s="144">
        <v>24.72</v>
      </c>
      <c r="U5" s="145"/>
      <c r="V5" s="206">
        <f t="shared" si="0"/>
        <v>2.4720000000000002E-3</v>
      </c>
      <c r="AA5">
        <v>1576</v>
      </c>
      <c r="AB5">
        <v>0.01</v>
      </c>
      <c r="AC5">
        <v>2.4720000000000002E-3</v>
      </c>
    </row>
    <row r="6" spans="1:29">
      <c r="A6" s="143">
        <v>1580</v>
      </c>
      <c r="B6" s="144"/>
      <c r="C6" s="145"/>
      <c r="D6" s="146">
        <v>1.0999999999999999E-2</v>
      </c>
      <c r="E6" s="144"/>
      <c r="F6" s="147"/>
      <c r="G6" s="148"/>
      <c r="H6" s="144"/>
      <c r="I6" s="144"/>
      <c r="J6" s="144"/>
      <c r="K6" s="149"/>
      <c r="L6" s="148"/>
      <c r="M6" s="144"/>
      <c r="N6" s="144"/>
      <c r="O6" s="145"/>
      <c r="P6" s="148"/>
      <c r="Q6" s="144"/>
      <c r="R6" s="144"/>
      <c r="S6" s="144">
        <v>1</v>
      </c>
      <c r="T6" s="144">
        <v>24.72</v>
      </c>
      <c r="U6" s="145"/>
      <c r="V6" s="206">
        <f t="shared" si="0"/>
        <v>2.7191999999999997E-3</v>
      </c>
      <c r="AA6">
        <v>1580</v>
      </c>
      <c r="AB6">
        <v>1.0999999999999999E-2</v>
      </c>
      <c r="AC6">
        <v>2.7191999999999997E-3</v>
      </c>
    </row>
    <row r="7" spans="1:29">
      <c r="A7" s="143">
        <v>1585</v>
      </c>
      <c r="B7" s="144"/>
      <c r="C7" s="145"/>
      <c r="D7" s="146">
        <v>1.8749999999999999E-2</v>
      </c>
      <c r="E7" s="144"/>
      <c r="F7" s="147"/>
      <c r="G7" s="148"/>
      <c r="H7" s="144"/>
      <c r="I7" s="144"/>
      <c r="J7" s="144"/>
      <c r="K7" s="149"/>
      <c r="L7" s="148"/>
      <c r="M7" s="144"/>
      <c r="N7" s="144"/>
      <c r="O7" s="145"/>
      <c r="P7" s="148"/>
      <c r="Q7" s="144"/>
      <c r="R7" s="144"/>
      <c r="S7" s="144">
        <v>1</v>
      </c>
      <c r="T7" s="144">
        <v>24.72</v>
      </c>
      <c r="U7" s="145"/>
      <c r="V7" s="206">
        <f t="shared" si="0"/>
        <v>4.6349999999999994E-3</v>
      </c>
      <c r="AA7">
        <v>1585</v>
      </c>
      <c r="AB7">
        <v>1.8749999999999999E-2</v>
      </c>
      <c r="AC7">
        <v>4.6349999999999994E-3</v>
      </c>
    </row>
    <row r="8" spans="1:29">
      <c r="A8" s="143">
        <v>1586</v>
      </c>
      <c r="B8" s="144"/>
      <c r="C8" s="145"/>
      <c r="D8" s="146">
        <v>1.4499999999999999E-2</v>
      </c>
      <c r="E8" s="144"/>
      <c r="F8" s="147"/>
      <c r="G8" s="148"/>
      <c r="H8" s="144"/>
      <c r="I8" s="144"/>
      <c r="J8" s="144"/>
      <c r="K8" s="149"/>
      <c r="L8" s="148"/>
      <c r="M8" s="144"/>
      <c r="N8" s="144"/>
      <c r="O8" s="145"/>
      <c r="P8" s="148"/>
      <c r="Q8" s="144"/>
      <c r="R8" s="144"/>
      <c r="S8" s="144">
        <v>1</v>
      </c>
      <c r="T8" s="144">
        <v>24.72</v>
      </c>
      <c r="U8" s="145"/>
      <c r="V8" s="206">
        <f t="shared" si="0"/>
        <v>3.5843999999999997E-3</v>
      </c>
      <c r="AA8">
        <v>1586</v>
      </c>
      <c r="AB8">
        <v>1.4499999999999999E-2</v>
      </c>
      <c r="AC8">
        <v>3.5843999999999997E-3</v>
      </c>
    </row>
    <row r="9" spans="1:29">
      <c r="A9" s="143">
        <v>1587</v>
      </c>
      <c r="B9" s="144"/>
      <c r="C9" s="145"/>
      <c r="D9" s="146">
        <v>1.7500000000000002E-2</v>
      </c>
      <c r="E9" s="144"/>
      <c r="F9" s="147"/>
      <c r="G9" s="148"/>
      <c r="H9" s="144"/>
      <c r="I9" s="144"/>
      <c r="J9" s="144"/>
      <c r="K9" s="149"/>
      <c r="L9" s="148"/>
      <c r="M9" s="144"/>
      <c r="N9" s="144"/>
      <c r="O9" s="145"/>
      <c r="P9" s="148"/>
      <c r="Q9" s="144"/>
      <c r="R9" s="144"/>
      <c r="S9" s="144">
        <v>1</v>
      </c>
      <c r="T9" s="144">
        <v>24.72</v>
      </c>
      <c r="U9" s="145"/>
      <c r="V9" s="206">
        <f t="shared" si="0"/>
        <v>4.326E-3</v>
      </c>
      <c r="AA9">
        <v>1587</v>
      </c>
      <c r="AB9">
        <v>1.7500000000000002E-2</v>
      </c>
      <c r="AC9">
        <v>4.326E-3</v>
      </c>
    </row>
    <row r="10" spans="1:29">
      <c r="A10" s="143">
        <v>1588</v>
      </c>
      <c r="B10" s="144"/>
      <c r="C10" s="145"/>
      <c r="D10" s="146">
        <v>1.2500000000000001E-2</v>
      </c>
      <c r="E10" s="144"/>
      <c r="F10" s="147"/>
      <c r="G10" s="148"/>
      <c r="H10" s="144"/>
      <c r="I10" s="144"/>
      <c r="J10" s="144"/>
      <c r="K10" s="149"/>
      <c r="L10" s="148"/>
      <c r="M10" s="144"/>
      <c r="N10" s="144"/>
      <c r="O10" s="145"/>
      <c r="P10" s="148"/>
      <c r="Q10" s="144"/>
      <c r="R10" s="144"/>
      <c r="S10" s="144">
        <v>1</v>
      </c>
      <c r="T10" s="144">
        <v>24.72</v>
      </c>
      <c r="U10" s="145"/>
      <c r="V10" s="206">
        <f t="shared" si="0"/>
        <v>3.0899999999999999E-3</v>
      </c>
      <c r="AA10">
        <v>1588</v>
      </c>
      <c r="AB10">
        <v>1.2500000000000001E-2</v>
      </c>
      <c r="AC10">
        <v>3.0899999999999999E-3</v>
      </c>
    </row>
    <row r="11" spans="1:29">
      <c r="A11" s="143">
        <v>1593</v>
      </c>
      <c r="B11" s="144"/>
      <c r="C11" s="145"/>
      <c r="D11" s="146">
        <v>1.4999999999999999E-2</v>
      </c>
      <c r="E11" s="144"/>
      <c r="F11" s="147"/>
      <c r="G11" s="148"/>
      <c r="H11" s="144"/>
      <c r="I11" s="144"/>
      <c r="J11" s="144"/>
      <c r="K11" s="149"/>
      <c r="L11" s="148"/>
      <c r="M11" s="144"/>
      <c r="N11" s="144"/>
      <c r="O11" s="145"/>
      <c r="P11" s="148"/>
      <c r="Q11" s="144"/>
      <c r="R11" s="144"/>
      <c r="S11" s="144">
        <v>1</v>
      </c>
      <c r="T11" s="144">
        <v>24.72</v>
      </c>
      <c r="U11" s="145"/>
      <c r="V11" s="206">
        <f t="shared" si="0"/>
        <v>3.7079999999999995E-3</v>
      </c>
      <c r="AA11">
        <v>1593</v>
      </c>
      <c r="AB11">
        <v>1.4999999999999999E-2</v>
      </c>
      <c r="AC11">
        <v>3.7079999999999995E-3</v>
      </c>
    </row>
    <row r="12" spans="1:29">
      <c r="A12" s="143">
        <v>1594</v>
      </c>
      <c r="B12" s="144"/>
      <c r="C12" s="145"/>
      <c r="D12" s="146">
        <v>1.4999999999999999E-2</v>
      </c>
      <c r="E12" s="144"/>
      <c r="F12" s="147"/>
      <c r="G12" s="148"/>
      <c r="H12" s="144"/>
      <c r="I12" s="144"/>
      <c r="J12" s="144"/>
      <c r="K12" s="149"/>
      <c r="L12" s="148"/>
      <c r="M12" s="144"/>
      <c r="N12" s="144"/>
      <c r="O12" s="145"/>
      <c r="P12" s="148"/>
      <c r="Q12" s="144"/>
      <c r="R12" s="144"/>
      <c r="S12" s="144">
        <v>1</v>
      </c>
      <c r="T12" s="144">
        <v>24.72</v>
      </c>
      <c r="U12" s="145"/>
      <c r="V12" s="206">
        <f t="shared" si="0"/>
        <v>3.7079999999999995E-3</v>
      </c>
      <c r="AA12">
        <v>1594</v>
      </c>
      <c r="AB12">
        <v>1.4999999999999999E-2</v>
      </c>
      <c r="AC12">
        <v>3.7079999999999995E-3</v>
      </c>
    </row>
    <row r="13" spans="1:29">
      <c r="A13" s="143">
        <v>1706</v>
      </c>
      <c r="B13" s="144">
        <v>0.45</v>
      </c>
      <c r="C13" s="145"/>
      <c r="D13" s="146"/>
      <c r="E13" s="144"/>
      <c r="F13" s="147"/>
      <c r="G13" s="148"/>
      <c r="H13" s="144">
        <v>0.7</v>
      </c>
      <c r="I13" s="144"/>
      <c r="J13" s="144"/>
      <c r="K13" s="149"/>
      <c r="L13" s="148"/>
      <c r="M13" s="144"/>
      <c r="N13" s="144">
        <v>2</v>
      </c>
      <c r="O13" s="150">
        <f>N13*0.257732</f>
        <v>0.51546400000000003</v>
      </c>
      <c r="P13" s="148"/>
      <c r="Q13" s="144"/>
      <c r="R13" s="144"/>
      <c r="S13" s="144">
        <v>1</v>
      </c>
      <c r="T13" s="144">
        <v>24.72</v>
      </c>
      <c r="U13" s="145"/>
      <c r="AA13">
        <v>1706</v>
      </c>
    </row>
    <row r="14" spans="1:29">
      <c r="A14" s="143">
        <v>1708</v>
      </c>
      <c r="B14" s="144">
        <v>0.45</v>
      </c>
      <c r="C14" s="145"/>
      <c r="D14" s="146"/>
      <c r="E14" s="144">
        <v>0.27</v>
      </c>
      <c r="F14" s="147"/>
      <c r="G14" s="148"/>
      <c r="H14" s="144">
        <v>0.7</v>
      </c>
      <c r="I14" s="144"/>
      <c r="J14" s="144"/>
      <c r="K14" s="149"/>
      <c r="L14" s="148"/>
      <c r="M14" s="144"/>
      <c r="N14" s="144">
        <v>2</v>
      </c>
      <c r="O14" s="150">
        <f>N14*0.257732</f>
        <v>0.51546400000000003</v>
      </c>
      <c r="P14" s="148"/>
      <c r="Q14" s="144"/>
      <c r="R14" s="144"/>
      <c r="S14" s="144">
        <v>1</v>
      </c>
      <c r="T14" s="144">
        <v>24.72</v>
      </c>
      <c r="U14" s="145"/>
      <c r="AA14">
        <v>1708</v>
      </c>
    </row>
    <row r="15" spans="1:29">
      <c r="A15" s="143">
        <v>1718</v>
      </c>
      <c r="B15" s="144">
        <v>1.29</v>
      </c>
      <c r="C15" s="151">
        <v>0.02</v>
      </c>
      <c r="D15" s="146">
        <v>4.6249999999999999E-2</v>
      </c>
      <c r="E15" s="144">
        <v>0.24</v>
      </c>
      <c r="F15" s="152">
        <f>2.110043*B15+12.19512*C15+12.19512*D15+E15*0.42735</f>
        <v>3.6324461700000001</v>
      </c>
      <c r="G15" s="148"/>
      <c r="H15" s="144">
        <v>1.0900000000000001</v>
      </c>
      <c r="I15" s="144">
        <v>0.02</v>
      </c>
      <c r="J15" s="153">
        <f>0.02*1.34/0.03</f>
        <v>0.89333333333333342</v>
      </c>
      <c r="K15" s="154">
        <f>H15*0.15873+I15*7.042254+J15*0.079365</f>
        <v>0.38476018000000006</v>
      </c>
      <c r="L15" s="148"/>
      <c r="M15" s="144"/>
      <c r="N15" s="144">
        <v>2.0550000000000002</v>
      </c>
      <c r="O15" s="150">
        <f>N15*0.257732</f>
        <v>0.52963926000000006</v>
      </c>
      <c r="P15" s="148"/>
      <c r="Q15" s="115">
        <f>(F15+K15+O15)*0.05</f>
        <v>0.22734228050000002</v>
      </c>
      <c r="R15" s="115">
        <f>F15+K15+O15+Q15</f>
        <v>4.7741878905000004</v>
      </c>
      <c r="S15" s="115">
        <v>1</v>
      </c>
      <c r="T15" s="115">
        <v>20.59</v>
      </c>
      <c r="U15" s="150">
        <f>R15*S15*T15/100</f>
        <v>0.98300528665395004</v>
      </c>
      <c r="V15" s="206">
        <f t="shared" ref="V15:V16" si="1">D15*S15*T15/100</f>
        <v>9.5228750000000001E-3</v>
      </c>
      <c r="AA15">
        <v>1718</v>
      </c>
      <c r="AB15">
        <v>4.6249999999999999E-2</v>
      </c>
      <c r="AC15">
        <v>9.5228750000000001E-3</v>
      </c>
    </row>
    <row r="16" spans="1:29">
      <c r="A16" s="143">
        <v>1725</v>
      </c>
      <c r="B16" s="144">
        <f>((0.03+0.04)/2)*8</f>
        <v>0.28000000000000003</v>
      </c>
      <c r="C16" s="145"/>
      <c r="D16" s="146">
        <v>6.875E-3</v>
      </c>
      <c r="E16" s="144">
        <v>0.24</v>
      </c>
      <c r="F16" s="147"/>
      <c r="G16" s="148"/>
      <c r="H16" s="144"/>
      <c r="I16" s="144">
        <v>0.02</v>
      </c>
      <c r="J16" s="144"/>
      <c r="K16" s="149"/>
      <c r="L16" s="148"/>
      <c r="M16" s="144"/>
      <c r="N16" s="144"/>
      <c r="O16" s="145"/>
      <c r="P16" s="148"/>
      <c r="Q16" s="144"/>
      <c r="R16" s="144"/>
      <c r="S16" s="144">
        <v>1</v>
      </c>
      <c r="T16" s="115">
        <v>20.59</v>
      </c>
      <c r="U16" s="145"/>
      <c r="V16" s="206">
        <f t="shared" si="1"/>
        <v>1.4155624999999999E-3</v>
      </c>
      <c r="Z16" t="s">
        <v>808</v>
      </c>
      <c r="AA16">
        <v>1725</v>
      </c>
      <c r="AB16">
        <v>6.875E-3</v>
      </c>
      <c r="AC16">
        <v>1.4155624999999999E-3</v>
      </c>
    </row>
    <row r="17" spans="1:29">
      <c r="A17" s="143">
        <v>1726</v>
      </c>
      <c r="B17" s="144">
        <v>0.3</v>
      </c>
      <c r="C17" s="145"/>
      <c r="D17" s="146"/>
      <c r="E17" s="144">
        <v>0.24</v>
      </c>
      <c r="F17" s="147"/>
      <c r="G17" s="148"/>
      <c r="H17" s="144"/>
      <c r="I17" s="144">
        <v>0.02</v>
      </c>
      <c r="J17" s="144"/>
      <c r="K17" s="149"/>
      <c r="L17" s="148"/>
      <c r="M17" s="144"/>
      <c r="N17" s="144"/>
      <c r="O17" s="145"/>
      <c r="P17" s="148"/>
      <c r="Q17" s="144"/>
      <c r="R17" s="144"/>
      <c r="S17" s="144">
        <v>1</v>
      </c>
      <c r="T17" s="115">
        <v>20.59</v>
      </c>
      <c r="U17" s="145"/>
      <c r="AA17">
        <v>1726</v>
      </c>
    </row>
    <row r="18" spans="1:29">
      <c r="A18" s="143">
        <v>1727</v>
      </c>
      <c r="B18" s="144"/>
      <c r="C18" s="145"/>
      <c r="D18" s="146"/>
      <c r="E18" s="144"/>
      <c r="F18" s="147"/>
      <c r="G18" s="148"/>
      <c r="H18" s="144"/>
      <c r="I18" s="144"/>
      <c r="J18" s="144"/>
      <c r="K18" s="149"/>
      <c r="L18" s="148"/>
      <c r="M18" s="144"/>
      <c r="N18" s="144"/>
      <c r="O18" s="145"/>
      <c r="P18" s="148"/>
      <c r="Q18" s="144"/>
      <c r="R18" s="144"/>
      <c r="S18" s="144">
        <v>1</v>
      </c>
      <c r="T18" s="115">
        <v>20.59</v>
      </c>
      <c r="U18" s="145"/>
      <c r="AA18">
        <v>1727</v>
      </c>
    </row>
    <row r="19" spans="1:29">
      <c r="A19" s="143">
        <v>1728</v>
      </c>
      <c r="B19" s="144">
        <v>0.81499999999999995</v>
      </c>
      <c r="C19" s="145">
        <v>0.02</v>
      </c>
      <c r="D19" s="146">
        <v>0.04</v>
      </c>
      <c r="E19" s="144">
        <v>0.24</v>
      </c>
      <c r="F19" s="152">
        <f>2.110043*B19+12.19512*C19+12.19512*D19+E19*0.42735</f>
        <v>2.5539562450000002</v>
      </c>
      <c r="G19" s="148"/>
      <c r="H19" s="144">
        <v>1.1724999999999999</v>
      </c>
      <c r="I19" s="144">
        <v>0.02</v>
      </c>
      <c r="J19" s="153">
        <f>0.02*(1.34/0.03)</f>
        <v>0.89333333333333342</v>
      </c>
      <c r="K19" s="154">
        <f>H19*0.15873+I19*7.042254+J19*0.079365</f>
        <v>0.397855405</v>
      </c>
      <c r="L19" s="148"/>
      <c r="M19" s="144"/>
      <c r="N19" s="153">
        <f>(N21+N22)/2</f>
        <v>3.7749999999999999</v>
      </c>
      <c r="O19" s="150">
        <f>N19*0.257732</f>
        <v>0.97293830000000003</v>
      </c>
      <c r="P19" s="148"/>
      <c r="Q19" s="115">
        <f>(F19+K19+O19)*0.05</f>
        <v>0.19623749750000002</v>
      </c>
      <c r="R19" s="115">
        <f>F19+K19+O19+Q19</f>
        <v>4.1209874475000001</v>
      </c>
      <c r="S19" s="144">
        <v>1</v>
      </c>
      <c r="T19" s="115">
        <v>20.59</v>
      </c>
      <c r="U19" s="150">
        <f>R19*S19*T19/100</f>
        <v>0.84851131544025005</v>
      </c>
      <c r="V19" s="206">
        <f t="shared" ref="V19:V20" si="2">D19*S19*T19/100</f>
        <v>8.2360000000000003E-3</v>
      </c>
      <c r="AA19">
        <v>1728</v>
      </c>
      <c r="AB19">
        <v>0.04</v>
      </c>
      <c r="AC19">
        <v>8.2360000000000003E-3</v>
      </c>
    </row>
    <row r="20" spans="1:29">
      <c r="A20" s="143">
        <v>1729</v>
      </c>
      <c r="B20" s="144">
        <v>0.76666666666666661</v>
      </c>
      <c r="C20" s="145"/>
      <c r="D20" s="146">
        <v>3.2500000000000001E-2</v>
      </c>
      <c r="E20" s="144">
        <v>0.24</v>
      </c>
      <c r="F20" s="147"/>
      <c r="G20" s="148"/>
      <c r="H20" s="144">
        <v>1.2</v>
      </c>
      <c r="I20" s="144">
        <v>0.01</v>
      </c>
      <c r="J20" s="144"/>
      <c r="K20" s="149"/>
      <c r="L20" s="148"/>
      <c r="M20" s="144"/>
      <c r="N20" s="144"/>
      <c r="O20" s="145"/>
      <c r="P20" s="148"/>
      <c r="Q20" s="144"/>
      <c r="R20" s="144"/>
      <c r="S20" s="144">
        <v>1</v>
      </c>
      <c r="T20" s="115">
        <v>20.59</v>
      </c>
      <c r="U20" s="145"/>
      <c r="V20" s="206">
        <f t="shared" si="2"/>
        <v>6.6917499999999998E-3</v>
      </c>
      <c r="AA20">
        <v>1729</v>
      </c>
      <c r="AB20">
        <v>3.2500000000000001E-2</v>
      </c>
      <c r="AC20">
        <v>6.6917499999999998E-3</v>
      </c>
    </row>
    <row r="21" spans="1:29">
      <c r="A21" s="143">
        <v>1730</v>
      </c>
      <c r="B21" s="144">
        <v>0.57999999999999996</v>
      </c>
      <c r="C21" s="145"/>
      <c r="D21" s="146"/>
      <c r="E21" s="144"/>
      <c r="F21" s="147"/>
      <c r="G21" s="148"/>
      <c r="H21" s="144">
        <v>0.9</v>
      </c>
      <c r="I21" s="144"/>
      <c r="J21" s="144"/>
      <c r="K21" s="149"/>
      <c r="L21" s="148"/>
      <c r="M21" s="144"/>
      <c r="N21" s="144">
        <v>3.33</v>
      </c>
      <c r="O21" s="150">
        <f>N21*0.257732</f>
        <v>0.85824756000000002</v>
      </c>
      <c r="P21" s="148"/>
      <c r="Q21" s="144"/>
      <c r="R21" s="144"/>
      <c r="S21" s="144">
        <v>1</v>
      </c>
      <c r="T21" s="115">
        <v>20.59</v>
      </c>
      <c r="U21" s="145"/>
      <c r="AA21">
        <v>1730</v>
      </c>
    </row>
    <row r="22" spans="1:29">
      <c r="A22" s="143">
        <v>1731</v>
      </c>
      <c r="B22" s="144">
        <v>0.62883148360760299</v>
      </c>
      <c r="C22" s="145"/>
      <c r="D22" s="146"/>
      <c r="E22" s="144"/>
      <c r="F22" s="147"/>
      <c r="G22" s="148"/>
      <c r="H22" s="144">
        <v>1.35</v>
      </c>
      <c r="I22" s="144">
        <v>0.03</v>
      </c>
      <c r="J22" s="144"/>
      <c r="K22" s="149"/>
      <c r="L22" s="148"/>
      <c r="M22" s="144"/>
      <c r="N22" s="144">
        <v>4.22</v>
      </c>
      <c r="O22" s="150">
        <f>N22*0.257732</f>
        <v>1.0876290399999999</v>
      </c>
      <c r="P22" s="148"/>
      <c r="Q22" s="144"/>
      <c r="R22" s="144"/>
      <c r="S22" s="144">
        <v>1</v>
      </c>
      <c r="T22" s="144">
        <v>20.74</v>
      </c>
      <c r="U22" s="145"/>
      <c r="AA22">
        <v>1731</v>
      </c>
    </row>
    <row r="23" spans="1:29">
      <c r="A23" s="143">
        <v>1732</v>
      </c>
      <c r="B23" s="144"/>
      <c r="C23" s="145"/>
      <c r="D23" s="146">
        <v>0.04</v>
      </c>
      <c r="E23" s="144">
        <v>0.27</v>
      </c>
      <c r="F23" s="147"/>
      <c r="G23" s="148"/>
      <c r="H23" s="144">
        <v>0.82676190476190459</v>
      </c>
      <c r="I23" s="144">
        <v>0.03</v>
      </c>
      <c r="J23" s="144"/>
      <c r="K23" s="149"/>
      <c r="L23" s="148"/>
      <c r="M23" s="144"/>
      <c r="N23" s="144">
        <v>2</v>
      </c>
      <c r="O23" s="150">
        <f>N23*0.257732</f>
        <v>0.51546400000000003</v>
      </c>
      <c r="P23" s="148"/>
      <c r="Q23" s="144"/>
      <c r="R23" s="144"/>
      <c r="S23" s="144">
        <v>1</v>
      </c>
      <c r="T23" s="144">
        <v>20.74</v>
      </c>
      <c r="U23" s="145"/>
      <c r="V23" s="206">
        <f t="shared" ref="V23" si="3">D23*S23*T23/100</f>
        <v>8.2959999999999996E-3</v>
      </c>
      <c r="AA23">
        <v>1732</v>
      </c>
      <c r="AB23">
        <v>0.04</v>
      </c>
      <c r="AC23">
        <v>8.2959999999999996E-3</v>
      </c>
    </row>
    <row r="24" spans="1:29">
      <c r="A24" s="143">
        <v>1733</v>
      </c>
      <c r="B24" s="144"/>
      <c r="C24" s="145"/>
      <c r="D24" s="146"/>
      <c r="E24" s="144"/>
      <c r="F24" s="147"/>
      <c r="G24" s="148"/>
      <c r="H24" s="144"/>
      <c r="I24" s="144"/>
      <c r="J24" s="144"/>
      <c r="K24" s="149"/>
      <c r="L24" s="148"/>
      <c r="M24" s="144"/>
      <c r="N24" s="144"/>
      <c r="O24" s="145"/>
      <c r="P24" s="148"/>
      <c r="Q24" s="144"/>
      <c r="R24" s="144"/>
      <c r="S24" s="144">
        <v>1</v>
      </c>
      <c r="T24" s="144">
        <v>20.74</v>
      </c>
      <c r="U24" s="145"/>
      <c r="AA24">
        <v>1733</v>
      </c>
    </row>
    <row r="25" spans="1:29">
      <c r="A25" s="143">
        <v>1734</v>
      </c>
      <c r="B25" s="144"/>
      <c r="C25" s="145"/>
      <c r="D25" s="146"/>
      <c r="E25" s="144">
        <v>0.25</v>
      </c>
      <c r="F25" s="147"/>
      <c r="G25" s="148"/>
      <c r="H25" s="144"/>
      <c r="I25" s="144">
        <v>0.01</v>
      </c>
      <c r="J25" s="144"/>
      <c r="K25" s="149"/>
      <c r="L25" s="148"/>
      <c r="M25" s="144"/>
      <c r="N25" s="144"/>
      <c r="O25" s="145"/>
      <c r="P25" s="148"/>
      <c r="Q25" s="144"/>
      <c r="R25" s="144"/>
      <c r="S25" s="144">
        <v>1</v>
      </c>
      <c r="T25" s="144">
        <v>20.74</v>
      </c>
      <c r="U25" s="145"/>
      <c r="AA25">
        <v>1734</v>
      </c>
    </row>
    <row r="26" spans="1:29">
      <c r="A26" s="111">
        <v>1735</v>
      </c>
      <c r="B26" s="115"/>
      <c r="C26" s="150"/>
      <c r="D26" s="112"/>
      <c r="E26" s="115">
        <v>0.24</v>
      </c>
      <c r="F26" s="152"/>
      <c r="G26" s="155"/>
      <c r="H26" s="115">
        <v>1.2</v>
      </c>
      <c r="I26" s="115">
        <v>0.02</v>
      </c>
      <c r="J26" s="115"/>
      <c r="K26" s="154"/>
      <c r="L26" s="155"/>
      <c r="M26" s="115"/>
      <c r="N26" s="115"/>
      <c r="O26" s="150"/>
      <c r="P26" s="155"/>
      <c r="Q26" s="115"/>
      <c r="R26" s="111"/>
      <c r="S26" s="144">
        <v>1</v>
      </c>
      <c r="T26" s="144">
        <v>20.74</v>
      </c>
      <c r="U26" s="150"/>
      <c r="AA26">
        <v>1735</v>
      </c>
    </row>
    <row r="27" spans="1:29">
      <c r="A27" s="111">
        <v>1736</v>
      </c>
      <c r="B27" s="115"/>
      <c r="C27" s="150"/>
      <c r="D27" s="112">
        <v>9.5833333333333326E-2</v>
      </c>
      <c r="E27" s="115">
        <v>0.25</v>
      </c>
      <c r="F27" s="152"/>
      <c r="G27" s="155"/>
      <c r="H27" s="115">
        <v>1.2</v>
      </c>
      <c r="I27" s="115">
        <v>0.01</v>
      </c>
      <c r="J27" s="115"/>
      <c r="K27" s="154"/>
      <c r="L27" s="155"/>
      <c r="M27" s="115"/>
      <c r="N27" s="115"/>
      <c r="O27" s="150"/>
      <c r="P27" s="155"/>
      <c r="Q27" s="115"/>
      <c r="R27" s="111"/>
      <c r="S27" s="144">
        <v>1</v>
      </c>
      <c r="T27" s="144">
        <v>20.74</v>
      </c>
      <c r="U27" s="150"/>
      <c r="V27" s="206">
        <f t="shared" ref="V27" si="4">D27*S27*T27/100</f>
        <v>1.9875833333333329E-2</v>
      </c>
      <c r="AA27">
        <v>1736</v>
      </c>
      <c r="AB27">
        <v>9.5833333333333326E-2</v>
      </c>
      <c r="AC27">
        <v>1.9875833333333329E-2</v>
      </c>
    </row>
    <row r="28" spans="1:29">
      <c r="A28" s="111">
        <v>1737</v>
      </c>
      <c r="B28" s="115">
        <v>0.8</v>
      </c>
      <c r="C28" s="150"/>
      <c r="D28" s="112"/>
      <c r="E28" s="115"/>
      <c r="F28" s="152"/>
      <c r="G28" s="155"/>
      <c r="H28" s="115"/>
      <c r="I28" s="115"/>
      <c r="J28" s="115"/>
      <c r="K28" s="154"/>
      <c r="L28" s="155"/>
      <c r="M28" s="115"/>
      <c r="N28" s="115"/>
      <c r="O28" s="150"/>
      <c r="P28" s="155"/>
      <c r="Q28" s="115"/>
      <c r="R28" s="111"/>
      <c r="S28" s="144">
        <v>1</v>
      </c>
      <c r="T28" s="144">
        <v>20.74</v>
      </c>
      <c r="U28" s="150"/>
      <c r="AA28">
        <v>1737</v>
      </c>
    </row>
    <row r="29" spans="1:29">
      <c r="A29" s="111">
        <v>1738</v>
      </c>
      <c r="B29" s="156">
        <v>0.8</v>
      </c>
      <c r="C29" s="150">
        <v>1.325E-2</v>
      </c>
      <c r="D29" s="112">
        <v>3.6666666666666667E-2</v>
      </c>
      <c r="E29" s="115">
        <v>0.24</v>
      </c>
      <c r="F29" s="152">
        <f>2.110043*B29+12.19512*C29+12.19512*D29+E29*0.42735</f>
        <v>2.3993381400000002</v>
      </c>
      <c r="G29" s="155"/>
      <c r="H29" s="115">
        <v>1.29</v>
      </c>
      <c r="I29" s="115">
        <v>0.03</v>
      </c>
      <c r="J29" s="115">
        <v>1.34</v>
      </c>
      <c r="K29" s="154">
        <f>H29*0.15873+I29*7.042254+J29*0.079365</f>
        <v>0.52237842000000001</v>
      </c>
      <c r="L29" s="155"/>
      <c r="M29" s="115">
        <f>F29+K29</f>
        <v>2.9217165600000001</v>
      </c>
      <c r="N29" s="115">
        <v>3.47</v>
      </c>
      <c r="O29" s="150">
        <f>N29*0.257732</f>
        <v>0.89433004000000016</v>
      </c>
      <c r="P29" s="155"/>
      <c r="Q29" s="115">
        <f>(F29+K29+O29)*0.05</f>
        <v>0.19080233000000002</v>
      </c>
      <c r="R29" s="115">
        <f>F29+K29+O29+Q29</f>
        <v>4.0068489300000003</v>
      </c>
      <c r="S29" s="144">
        <v>1</v>
      </c>
      <c r="T29" s="144">
        <v>20.74</v>
      </c>
      <c r="U29" s="150">
        <f>R29*S29*T29/100</f>
        <v>0.83102046808200003</v>
      </c>
      <c r="V29" s="206">
        <f t="shared" ref="V29" si="5">D29*S29*T29/100</f>
        <v>7.6046666666666658E-3</v>
      </c>
      <c r="AA29">
        <v>1738</v>
      </c>
      <c r="AB29">
        <v>3.6666666666666667E-2</v>
      </c>
      <c r="AC29">
        <v>7.6046666666666658E-3</v>
      </c>
    </row>
    <row r="30" spans="1:29">
      <c r="A30" s="111">
        <v>1741</v>
      </c>
      <c r="B30" s="115"/>
      <c r="C30" s="150"/>
      <c r="D30" s="112"/>
      <c r="E30" s="115">
        <v>0.24</v>
      </c>
      <c r="F30" s="152"/>
      <c r="G30" s="155"/>
      <c r="H30" s="115">
        <v>1.7</v>
      </c>
      <c r="I30" s="115">
        <v>0.03</v>
      </c>
      <c r="J30" s="115">
        <v>1.2</v>
      </c>
      <c r="K30" s="154"/>
      <c r="L30" s="155"/>
      <c r="M30" s="115"/>
      <c r="N30" s="115"/>
      <c r="O30" s="150"/>
      <c r="P30" s="155"/>
      <c r="Q30" s="115"/>
      <c r="R30" s="111"/>
      <c r="S30" s="144">
        <v>1</v>
      </c>
      <c r="T30" s="144">
        <v>20.74</v>
      </c>
      <c r="U30" s="150"/>
      <c r="AA30">
        <v>1741</v>
      </c>
    </row>
    <row r="31" spans="1:29">
      <c r="A31" s="111">
        <v>1744</v>
      </c>
      <c r="B31" s="115">
        <v>1.3</v>
      </c>
      <c r="C31" s="150"/>
      <c r="D31" s="112"/>
      <c r="E31" s="115"/>
      <c r="F31" s="152"/>
      <c r="G31" s="155"/>
      <c r="H31" s="115"/>
      <c r="I31" s="115"/>
      <c r="J31" s="115"/>
      <c r="K31" s="154"/>
      <c r="L31" s="155"/>
      <c r="M31" s="115"/>
      <c r="N31" s="115"/>
      <c r="O31" s="150"/>
      <c r="P31" s="155"/>
      <c r="Q31" s="115"/>
      <c r="R31" s="111"/>
      <c r="S31" s="144">
        <v>1</v>
      </c>
      <c r="T31" s="144">
        <v>20.74</v>
      </c>
      <c r="U31" s="150"/>
      <c r="AA31">
        <v>1744</v>
      </c>
    </row>
    <row r="32" spans="1:29">
      <c r="A32" s="111">
        <v>1745</v>
      </c>
      <c r="B32" s="115">
        <v>1</v>
      </c>
      <c r="C32" s="150"/>
      <c r="D32" s="112"/>
      <c r="E32" s="115"/>
      <c r="F32" s="152"/>
      <c r="G32" s="155"/>
      <c r="H32" s="115"/>
      <c r="I32" s="115"/>
      <c r="J32" s="115"/>
      <c r="K32" s="154"/>
      <c r="L32" s="155"/>
      <c r="M32" s="115"/>
      <c r="N32" s="115"/>
      <c r="O32" s="150"/>
      <c r="P32" s="155"/>
      <c r="Q32" s="115"/>
      <c r="R32" s="111"/>
      <c r="S32" s="144">
        <v>1</v>
      </c>
      <c r="T32" s="144">
        <v>20.74</v>
      </c>
      <c r="U32" s="150"/>
      <c r="AA32">
        <v>1745</v>
      </c>
    </row>
    <row r="33" spans="1:29">
      <c r="A33" s="111">
        <v>1746</v>
      </c>
      <c r="B33" s="115">
        <v>0.9</v>
      </c>
      <c r="C33" s="150"/>
      <c r="D33" s="112"/>
      <c r="E33" s="115"/>
      <c r="F33" s="152"/>
      <c r="G33" s="155"/>
      <c r="H33" s="115"/>
      <c r="I33" s="115">
        <v>0.04</v>
      </c>
      <c r="J33" s="115"/>
      <c r="K33" s="154"/>
      <c r="L33" s="155"/>
      <c r="M33" s="115"/>
      <c r="N33" s="115"/>
      <c r="O33" s="150"/>
      <c r="P33" s="155"/>
      <c r="Q33" s="115"/>
      <c r="R33" s="111"/>
      <c r="S33" s="144">
        <v>1</v>
      </c>
      <c r="T33" s="144">
        <v>20.74</v>
      </c>
      <c r="U33" s="150"/>
      <c r="AA33">
        <v>1746</v>
      </c>
    </row>
    <row r="34" spans="1:29">
      <c r="A34" s="111">
        <v>1747</v>
      </c>
      <c r="B34" s="115">
        <v>0.9</v>
      </c>
      <c r="C34" s="150"/>
      <c r="D34" s="112"/>
      <c r="E34" s="115"/>
      <c r="F34" s="152"/>
      <c r="G34" s="155"/>
      <c r="H34" s="115"/>
      <c r="I34" s="115"/>
      <c r="J34" s="115"/>
      <c r="K34" s="154"/>
      <c r="L34" s="155"/>
      <c r="M34" s="115"/>
      <c r="N34" s="115"/>
      <c r="O34" s="150"/>
      <c r="P34" s="155"/>
      <c r="Q34" s="115"/>
      <c r="R34" s="111"/>
      <c r="S34" s="144">
        <v>1</v>
      </c>
      <c r="T34" s="144">
        <v>20.74</v>
      </c>
      <c r="U34" s="150"/>
      <c r="AA34">
        <v>1747</v>
      </c>
    </row>
    <row r="35" spans="1:29">
      <c r="A35" s="111">
        <v>1748</v>
      </c>
      <c r="B35" s="115">
        <v>1</v>
      </c>
      <c r="C35" s="150"/>
      <c r="D35" s="112"/>
      <c r="E35" s="115"/>
      <c r="F35" s="152"/>
      <c r="G35" s="155"/>
      <c r="H35" s="115"/>
      <c r="I35" s="115"/>
      <c r="J35" s="115"/>
      <c r="K35" s="154"/>
      <c r="L35" s="155"/>
      <c r="M35" s="115"/>
      <c r="N35" s="115"/>
      <c r="O35" s="150"/>
      <c r="P35" s="155"/>
      <c r="Q35" s="115"/>
      <c r="R35" s="111"/>
      <c r="S35" s="144">
        <v>1</v>
      </c>
      <c r="T35" s="144">
        <v>20.74</v>
      </c>
      <c r="U35" s="150"/>
      <c r="AA35">
        <v>1748</v>
      </c>
    </row>
    <row r="36" spans="1:29">
      <c r="A36" s="111">
        <v>1749</v>
      </c>
      <c r="B36" s="115">
        <v>1.7</v>
      </c>
      <c r="C36" s="150"/>
      <c r="D36" s="112"/>
      <c r="E36" s="115"/>
      <c r="F36" s="152"/>
      <c r="G36" s="155"/>
      <c r="H36" s="115"/>
      <c r="I36" s="115"/>
      <c r="J36" s="115"/>
      <c r="K36" s="154"/>
      <c r="L36" s="155"/>
      <c r="M36" s="115"/>
      <c r="N36" s="115"/>
      <c r="O36" s="150"/>
      <c r="P36" s="155"/>
      <c r="Q36" s="115"/>
      <c r="R36" s="111"/>
      <c r="S36" s="144">
        <v>1</v>
      </c>
      <c r="T36" s="144">
        <v>20.74</v>
      </c>
      <c r="U36" s="150"/>
      <c r="AA36">
        <v>1749</v>
      </c>
    </row>
    <row r="37" spans="1:29">
      <c r="A37" s="111">
        <v>1750</v>
      </c>
      <c r="B37" s="115">
        <v>1.2</v>
      </c>
      <c r="C37" s="150"/>
      <c r="D37" s="112"/>
      <c r="E37" s="115"/>
      <c r="F37" s="152"/>
      <c r="G37" s="155"/>
      <c r="H37" s="115"/>
      <c r="I37" s="115"/>
      <c r="J37" s="115"/>
      <c r="K37" s="154"/>
      <c r="L37" s="155"/>
      <c r="M37" s="115"/>
      <c r="N37" s="115"/>
      <c r="O37" s="150"/>
      <c r="P37" s="155"/>
      <c r="Q37" s="115"/>
      <c r="R37" s="111"/>
      <c r="S37" s="144">
        <v>1</v>
      </c>
      <c r="T37" s="144">
        <v>20.74</v>
      </c>
      <c r="U37" s="150"/>
      <c r="AA37">
        <v>1750</v>
      </c>
    </row>
    <row r="38" spans="1:29">
      <c r="A38" s="111">
        <v>1751</v>
      </c>
      <c r="B38" s="115">
        <v>1.1499999999999999</v>
      </c>
      <c r="C38" s="150"/>
      <c r="D38" s="112"/>
      <c r="E38" s="115"/>
      <c r="F38" s="152"/>
      <c r="G38" s="155"/>
      <c r="H38" s="115"/>
      <c r="I38" s="115"/>
      <c r="J38" s="115"/>
      <c r="K38" s="154"/>
      <c r="L38" s="155"/>
      <c r="M38" s="115"/>
      <c r="N38" s="115"/>
      <c r="O38" s="150"/>
      <c r="P38" s="155"/>
      <c r="Q38" s="115"/>
      <c r="R38" s="111"/>
      <c r="S38" s="144">
        <v>1</v>
      </c>
      <c r="T38" s="144">
        <v>20.74</v>
      </c>
      <c r="U38" s="150"/>
      <c r="AA38">
        <v>1751</v>
      </c>
    </row>
    <row r="39" spans="1:29">
      <c r="A39" s="111">
        <v>1752</v>
      </c>
      <c r="B39" s="115">
        <v>1.1000000000000001</v>
      </c>
      <c r="C39" s="150"/>
      <c r="D39" s="112"/>
      <c r="E39" s="115"/>
      <c r="F39" s="152"/>
      <c r="G39" s="155"/>
      <c r="H39" s="115"/>
      <c r="I39" s="115"/>
      <c r="J39" s="115"/>
      <c r="K39" s="154"/>
      <c r="L39" s="155"/>
      <c r="M39" s="115"/>
      <c r="N39" s="115"/>
      <c r="O39" s="150"/>
      <c r="P39" s="155"/>
      <c r="Q39" s="115"/>
      <c r="R39" s="111"/>
      <c r="S39" s="144">
        <v>1</v>
      </c>
      <c r="T39" s="144">
        <v>20.74</v>
      </c>
      <c r="U39" s="150"/>
      <c r="AA39">
        <v>1752</v>
      </c>
    </row>
    <row r="40" spans="1:29">
      <c r="A40" s="111">
        <v>1753</v>
      </c>
      <c r="B40" s="115">
        <v>0.9</v>
      </c>
      <c r="C40" s="150"/>
      <c r="D40" s="112"/>
      <c r="E40" s="115"/>
      <c r="F40" s="152"/>
      <c r="G40" s="155"/>
      <c r="H40" s="115"/>
      <c r="I40" s="115"/>
      <c r="J40" s="115"/>
      <c r="K40" s="154"/>
      <c r="L40" s="155"/>
      <c r="M40" s="115"/>
      <c r="N40" s="115"/>
      <c r="O40" s="150"/>
      <c r="P40" s="155"/>
      <c r="Q40" s="115"/>
      <c r="R40" s="111"/>
      <c r="S40" s="144">
        <v>1</v>
      </c>
      <c r="T40" s="144">
        <v>20.74</v>
      </c>
      <c r="U40" s="150"/>
      <c r="AA40">
        <v>1753</v>
      </c>
    </row>
    <row r="41" spans="1:29">
      <c r="A41" s="111">
        <v>1757</v>
      </c>
      <c r="B41" s="115">
        <v>0.75</v>
      </c>
      <c r="C41" s="150"/>
      <c r="D41" s="112"/>
      <c r="E41" s="115"/>
      <c r="F41" s="152"/>
      <c r="G41" s="155"/>
      <c r="H41" s="115"/>
      <c r="I41" s="115">
        <v>0.04</v>
      </c>
      <c r="J41" s="115">
        <v>1.8</v>
      </c>
      <c r="K41" s="154"/>
      <c r="L41" s="155"/>
      <c r="M41" s="115"/>
      <c r="N41" s="115">
        <v>4.03</v>
      </c>
      <c r="O41" s="150"/>
      <c r="P41" s="155"/>
      <c r="Q41" s="115"/>
      <c r="R41" s="111"/>
      <c r="S41" s="144">
        <v>1</v>
      </c>
      <c r="T41" s="144">
        <v>20.74</v>
      </c>
      <c r="U41" s="150"/>
      <c r="AA41">
        <v>1757</v>
      </c>
    </row>
    <row r="42" spans="1:29">
      <c r="A42" s="111">
        <v>1758</v>
      </c>
      <c r="B42" s="115">
        <v>0.9</v>
      </c>
      <c r="C42" s="150"/>
      <c r="D42" s="112"/>
      <c r="E42" s="115"/>
      <c r="F42" s="152"/>
      <c r="G42" s="155"/>
      <c r="H42" s="115"/>
      <c r="I42" s="115"/>
      <c r="J42" s="115"/>
      <c r="K42" s="154"/>
      <c r="L42" s="155"/>
      <c r="M42" s="115"/>
      <c r="N42" s="115"/>
      <c r="O42" s="150"/>
      <c r="P42" s="155"/>
      <c r="Q42" s="115"/>
      <c r="R42" s="111"/>
      <c r="S42" s="144">
        <v>1</v>
      </c>
      <c r="T42" s="144">
        <v>20.74</v>
      </c>
      <c r="U42" s="150"/>
      <c r="AA42">
        <v>1758</v>
      </c>
    </row>
    <row r="43" spans="1:29">
      <c r="A43" s="111">
        <v>1759</v>
      </c>
      <c r="B43" s="115">
        <v>0.85</v>
      </c>
      <c r="C43" s="150"/>
      <c r="D43" s="112"/>
      <c r="E43" s="115"/>
      <c r="F43" s="152"/>
      <c r="G43" s="155"/>
      <c r="H43" s="115"/>
      <c r="I43" s="115"/>
      <c r="J43" s="115"/>
      <c r="K43" s="154"/>
      <c r="L43" s="155"/>
      <c r="M43" s="115"/>
      <c r="N43" s="115"/>
      <c r="O43" s="150"/>
      <c r="P43" s="155"/>
      <c r="Q43" s="115"/>
      <c r="R43" s="111"/>
      <c r="S43" s="144">
        <v>1</v>
      </c>
      <c r="T43" s="144">
        <v>20.74</v>
      </c>
      <c r="U43" s="150"/>
      <c r="AA43">
        <v>1759</v>
      </c>
    </row>
    <row r="44" spans="1:29">
      <c r="A44" s="111">
        <v>1760</v>
      </c>
      <c r="B44" s="115">
        <v>0.75666666666666671</v>
      </c>
      <c r="C44" s="150"/>
      <c r="D44" s="112"/>
      <c r="E44" s="115"/>
      <c r="F44" s="152"/>
      <c r="G44" s="155"/>
      <c r="H44" s="115"/>
      <c r="I44" s="115"/>
      <c r="J44" s="115"/>
      <c r="K44" s="154"/>
      <c r="L44" s="155"/>
      <c r="M44" s="115"/>
      <c r="N44" s="115"/>
      <c r="O44" s="150"/>
      <c r="P44" s="155"/>
      <c r="Q44" s="115"/>
      <c r="R44" s="111"/>
      <c r="S44" s="144">
        <v>1</v>
      </c>
      <c r="T44" s="144">
        <v>20.74</v>
      </c>
      <c r="U44" s="150"/>
      <c r="AA44">
        <v>1760</v>
      </c>
    </row>
    <row r="45" spans="1:29">
      <c r="A45" s="111">
        <v>1761</v>
      </c>
      <c r="B45" s="115">
        <v>0.74333333333333329</v>
      </c>
      <c r="C45" s="150"/>
      <c r="D45" s="112"/>
      <c r="E45" s="115"/>
      <c r="F45" s="152"/>
      <c r="G45" s="155"/>
      <c r="H45" s="115">
        <v>1.6</v>
      </c>
      <c r="I45" s="115"/>
      <c r="J45" s="115"/>
      <c r="K45" s="154"/>
      <c r="L45" s="155"/>
      <c r="M45" s="115"/>
      <c r="N45" s="115"/>
      <c r="O45" s="150"/>
      <c r="P45" s="155"/>
      <c r="Q45" s="115"/>
      <c r="R45" s="111"/>
      <c r="S45" s="144">
        <v>1</v>
      </c>
      <c r="T45" s="144">
        <v>20.74</v>
      </c>
      <c r="U45" s="150"/>
      <c r="AA45">
        <v>1761</v>
      </c>
    </row>
    <row r="46" spans="1:29">
      <c r="A46" s="111">
        <v>1762</v>
      </c>
      <c r="B46" s="115">
        <v>1.0266666666666666</v>
      </c>
      <c r="C46" s="150">
        <v>0.01</v>
      </c>
      <c r="D46" s="112">
        <v>0.05</v>
      </c>
      <c r="E46" s="115">
        <v>0.4</v>
      </c>
      <c r="F46" s="152">
        <f>2.110043*B46+12.19512*C46+12.19512*D46+E46*0.42735</f>
        <v>3.068958013333333</v>
      </c>
      <c r="G46" s="155"/>
      <c r="H46" s="157">
        <f>(H45+H47)/2</f>
        <v>1.82</v>
      </c>
      <c r="I46" s="115">
        <v>0.03</v>
      </c>
      <c r="J46" s="115">
        <v>2.2000000000000002</v>
      </c>
      <c r="K46" s="154">
        <f>H46*0.15873+I46*7.042254+J46*0.079365</f>
        <v>0.6747592200000001</v>
      </c>
      <c r="L46" s="155"/>
      <c r="M46" s="115">
        <f>F46+K46</f>
        <v>3.7437172333333333</v>
      </c>
      <c r="N46" s="115">
        <v>1</v>
      </c>
      <c r="O46" s="150">
        <f>N46*0.257732</f>
        <v>0.25773200000000002</v>
      </c>
      <c r="P46" s="155"/>
      <c r="Q46" s="115">
        <f>(F46+K46+O46)*0.05</f>
        <v>0.20007246166666667</v>
      </c>
      <c r="R46" s="115">
        <f>F46+K46+O46+Q46</f>
        <v>4.2015216949999994</v>
      </c>
      <c r="S46" s="144">
        <v>1</v>
      </c>
      <c r="T46" s="144">
        <v>20.74</v>
      </c>
      <c r="U46" s="150">
        <f t="shared" ref="U46:U48" si="6">R46*S46*T46/100</f>
        <v>0.87139559954299983</v>
      </c>
      <c r="V46" s="206">
        <f t="shared" ref="V46:V48" si="7">D46*S46*T46/100</f>
        <v>1.0369999999999999E-2</v>
      </c>
      <c r="AA46">
        <v>1762</v>
      </c>
      <c r="AB46">
        <v>0.05</v>
      </c>
      <c r="AC46">
        <v>1.0369999999999999E-2</v>
      </c>
    </row>
    <row r="47" spans="1:29">
      <c r="A47" s="111">
        <v>1763</v>
      </c>
      <c r="B47" s="115">
        <v>1.0449999999999999</v>
      </c>
      <c r="C47" s="150">
        <v>1.2500000000000001E-2</v>
      </c>
      <c r="D47" s="112">
        <v>5.1250000000000004E-2</v>
      </c>
      <c r="E47" s="115">
        <v>0.4</v>
      </c>
      <c r="F47" s="152">
        <f>2.110043*B47+12.19512*C47+12.19512*D47+E47*0.42735</f>
        <v>3.1533738349999996</v>
      </c>
      <c r="G47" s="155">
        <f>F47*100/R47</f>
        <v>72.91828980702229</v>
      </c>
      <c r="H47" s="115">
        <v>2.04</v>
      </c>
      <c r="I47" s="115">
        <v>0.02</v>
      </c>
      <c r="J47" s="115">
        <v>2.8000000000000003</v>
      </c>
      <c r="K47" s="154">
        <f>H47*0.15873+I47*7.042254+J47*0.079365</f>
        <v>0.68687628000000012</v>
      </c>
      <c r="L47" s="155">
        <f>K47*100/R47</f>
        <v>15.883255924399274</v>
      </c>
      <c r="M47" s="115">
        <f>F47+K47</f>
        <v>3.8402501149999999</v>
      </c>
      <c r="N47" s="115">
        <v>1.08</v>
      </c>
      <c r="O47" s="150">
        <f>N47*0.257732</f>
        <v>0.27835056000000002</v>
      </c>
      <c r="P47" s="155">
        <f>O47*100/R47</f>
        <v>6.4365495066736829</v>
      </c>
      <c r="Q47" s="115">
        <f>(F47+K47+O47)*0.05</f>
        <v>0.20593003374999999</v>
      </c>
      <c r="R47" s="115">
        <f>F47+K47+O47+Q47</f>
        <v>4.3245307087499993</v>
      </c>
      <c r="S47" s="144">
        <v>1</v>
      </c>
      <c r="T47" s="144">
        <v>20.74</v>
      </c>
      <c r="U47" s="150">
        <f t="shared" si="6"/>
        <v>0.89690766899474983</v>
      </c>
      <c r="V47" s="206">
        <f t="shared" si="7"/>
        <v>1.062925E-2</v>
      </c>
      <c r="AA47">
        <v>1763</v>
      </c>
      <c r="AB47">
        <v>5.1250000000000004E-2</v>
      </c>
      <c r="AC47">
        <v>1.062925E-2</v>
      </c>
    </row>
    <row r="48" spans="1:29">
      <c r="A48" s="111">
        <v>1764</v>
      </c>
      <c r="B48" s="115">
        <v>1.0266666666666666</v>
      </c>
      <c r="C48" s="150">
        <v>1.2500000000000001E-2</v>
      </c>
      <c r="D48" s="112">
        <v>0.05</v>
      </c>
      <c r="E48" s="115">
        <v>0.4</v>
      </c>
      <c r="F48" s="152">
        <f>2.110043*B48+12.19512*C48+12.19512*D48+E48*0.42735</f>
        <v>3.0994458133333334</v>
      </c>
      <c r="G48" s="155">
        <f>F48*100/R48</f>
        <v>72.936635824482153</v>
      </c>
      <c r="H48" s="115">
        <f>(1.76+1.6)/2</f>
        <v>1.6800000000000002</v>
      </c>
      <c r="I48" s="115">
        <v>0.03</v>
      </c>
      <c r="J48" s="115">
        <v>1.6</v>
      </c>
      <c r="K48" s="154">
        <f>H48*0.15873+I48*7.042254+J48*0.079365</f>
        <v>0.60491802000000006</v>
      </c>
      <c r="L48" s="155">
        <f>K48*100/R48</f>
        <v>14.235023931893403</v>
      </c>
      <c r="M48" s="115">
        <f>F48+K48</f>
        <v>3.7043638333333333</v>
      </c>
      <c r="N48" s="115">
        <v>1.33</v>
      </c>
      <c r="O48" s="150">
        <f>N48*0.257732</f>
        <v>0.34278356000000004</v>
      </c>
      <c r="P48" s="155">
        <f>O48*100/R48</f>
        <v>8.0664354817196848</v>
      </c>
      <c r="Q48" s="115">
        <f>(F48+K48+O48)*0.05</f>
        <v>0.2023573696666667</v>
      </c>
      <c r="R48" s="115">
        <f>F48+K48+O48+Q48</f>
        <v>4.249504763</v>
      </c>
      <c r="S48" s="144">
        <v>1</v>
      </c>
      <c r="T48" s="115">
        <v>18</v>
      </c>
      <c r="U48" s="150">
        <f t="shared" si="6"/>
        <v>0.76491085733999997</v>
      </c>
      <c r="V48" s="206">
        <f t="shared" si="7"/>
        <v>9.0000000000000011E-3</v>
      </c>
      <c r="AA48">
        <v>1764</v>
      </c>
      <c r="AB48">
        <v>0.05</v>
      </c>
      <c r="AC48">
        <v>9.0000000000000011E-3</v>
      </c>
    </row>
    <row r="49" spans="1:29">
      <c r="A49" s="111">
        <v>1765</v>
      </c>
      <c r="B49" s="115">
        <v>1.2233333333333334</v>
      </c>
      <c r="C49" s="150"/>
      <c r="D49" s="112"/>
      <c r="E49" s="115"/>
      <c r="F49" s="152"/>
      <c r="G49" s="155"/>
      <c r="H49" s="115"/>
      <c r="I49" s="115">
        <v>4.4999999999999998E-2</v>
      </c>
      <c r="J49" s="115">
        <v>1.6</v>
      </c>
      <c r="K49" s="154">
        <f>H49*0.15873+I49*7.042254+J49*0.079365</f>
        <v>0.44388543000000003</v>
      </c>
      <c r="L49" s="155"/>
      <c r="M49" s="115"/>
      <c r="N49" s="115"/>
      <c r="O49" s="150"/>
      <c r="P49" s="155"/>
      <c r="Q49" s="115"/>
      <c r="R49" s="111"/>
      <c r="S49" s="144">
        <v>1</v>
      </c>
      <c r="T49" s="115">
        <v>18</v>
      </c>
      <c r="U49" s="150"/>
      <c r="AA49">
        <v>1765</v>
      </c>
    </row>
    <row r="50" spans="1:29">
      <c r="A50" s="111">
        <v>1766</v>
      </c>
      <c r="B50" s="115">
        <v>2.2799999999999998</v>
      </c>
      <c r="C50" s="150"/>
      <c r="D50" s="112"/>
      <c r="E50" s="115"/>
      <c r="F50" s="152"/>
      <c r="G50" s="155"/>
      <c r="H50" s="115"/>
      <c r="I50" s="115">
        <v>0.03</v>
      </c>
      <c r="J50" s="115"/>
      <c r="K50" s="154"/>
      <c r="L50" s="155"/>
      <c r="M50" s="115"/>
      <c r="N50" s="115"/>
      <c r="O50" s="150"/>
      <c r="P50" s="155"/>
      <c r="Q50" s="115"/>
      <c r="R50" s="111"/>
      <c r="S50" s="144">
        <v>1</v>
      </c>
      <c r="T50" s="115">
        <v>18</v>
      </c>
      <c r="U50" s="150"/>
      <c r="AA50">
        <v>1766</v>
      </c>
    </row>
    <row r="51" spans="1:29">
      <c r="A51" s="111">
        <v>1767</v>
      </c>
      <c r="B51" s="115">
        <v>2.5939999999999999</v>
      </c>
      <c r="C51" s="150">
        <v>0.01</v>
      </c>
      <c r="D51" s="112">
        <v>0.06</v>
      </c>
      <c r="E51" s="115">
        <v>0.5</v>
      </c>
      <c r="F51" s="152">
        <f>2.110043*B51+12.19512*C51+12.19512*D51+E51*0.42735</f>
        <v>6.5407849420000002</v>
      </c>
      <c r="G51" s="155">
        <f>F51*100/R51</f>
        <v>79.972630178767602</v>
      </c>
      <c r="H51" s="115">
        <v>1.6</v>
      </c>
      <c r="I51" s="115">
        <v>0.05</v>
      </c>
      <c r="J51" s="115">
        <v>1.6</v>
      </c>
      <c r="K51" s="154">
        <f>H51*0.15873+I51*7.042254+J51*0.079365</f>
        <v>0.73306470000000001</v>
      </c>
      <c r="L51" s="155">
        <f>K51*100/R51</f>
        <v>8.9630086709873087</v>
      </c>
      <c r="M51" s="115">
        <f>F51+K51</f>
        <v>7.2738496420000001</v>
      </c>
      <c r="N51" s="115">
        <v>2</v>
      </c>
      <c r="O51" s="150">
        <f>N51*0.257732</f>
        <v>0.51546400000000003</v>
      </c>
      <c r="P51" s="155">
        <f>O51*100/R51</f>
        <v>6.3024563883403495</v>
      </c>
      <c r="Q51" s="115">
        <f>(F51+K51+O51)*0.05</f>
        <v>0.38946568209999999</v>
      </c>
      <c r="R51" s="115">
        <f>F51+K51+O51+Q51</f>
        <v>8.1787793240999989</v>
      </c>
      <c r="S51" s="144">
        <v>1</v>
      </c>
      <c r="T51" s="115">
        <v>18</v>
      </c>
      <c r="U51" s="150">
        <f>R51*S51*T51/100</f>
        <v>1.4721802783379996</v>
      </c>
      <c r="V51" s="206">
        <f t="shared" ref="V51" si="8">D51*S51*T51/100</f>
        <v>1.0800000000000001E-2</v>
      </c>
      <c r="AA51">
        <v>1767</v>
      </c>
      <c r="AB51">
        <v>0.06</v>
      </c>
      <c r="AC51">
        <v>1.0800000000000001E-2</v>
      </c>
    </row>
    <row r="52" spans="1:29">
      <c r="A52" s="111">
        <v>1768</v>
      </c>
      <c r="B52" s="115">
        <v>2.2950000000000004</v>
      </c>
      <c r="C52" s="150"/>
      <c r="D52" s="112"/>
      <c r="E52" s="115"/>
      <c r="F52" s="152"/>
      <c r="G52" s="155"/>
      <c r="H52" s="115"/>
      <c r="I52" s="115">
        <v>0.05</v>
      </c>
      <c r="J52" s="115"/>
      <c r="K52" s="154"/>
      <c r="L52" s="155"/>
      <c r="M52" s="115"/>
      <c r="N52" s="115"/>
      <c r="O52" s="150"/>
      <c r="P52" s="155"/>
      <c r="Q52" s="115"/>
      <c r="R52" s="111"/>
      <c r="S52" s="144">
        <v>1</v>
      </c>
      <c r="T52" s="115">
        <v>18</v>
      </c>
      <c r="U52" s="150"/>
      <c r="AA52">
        <v>1768</v>
      </c>
    </row>
    <row r="53" spans="1:29">
      <c r="A53" s="111">
        <v>1769</v>
      </c>
      <c r="B53" s="115">
        <v>2.1</v>
      </c>
      <c r="C53" s="150"/>
      <c r="D53" s="112">
        <v>0.05</v>
      </c>
      <c r="E53" s="115">
        <v>0.39990234375</v>
      </c>
      <c r="F53" s="152"/>
      <c r="G53" s="155"/>
      <c r="H53" s="115">
        <v>2.65</v>
      </c>
      <c r="I53" s="115">
        <v>6.3333333333333339E-2</v>
      </c>
      <c r="J53" s="115"/>
      <c r="K53" s="154"/>
      <c r="L53" s="155"/>
      <c r="M53" s="115"/>
      <c r="N53" s="115">
        <v>1.05</v>
      </c>
      <c r="O53" s="150"/>
      <c r="P53" s="155"/>
      <c r="Q53" s="115"/>
      <c r="R53" s="111"/>
      <c r="S53" s="111">
        <v>0.99009900990099009</v>
      </c>
      <c r="T53" s="115">
        <v>18</v>
      </c>
      <c r="U53" s="150"/>
      <c r="V53" s="206">
        <f t="shared" ref="V53:V54" si="9">D53*S53*T53/100</f>
        <v>8.9108910891089119E-3</v>
      </c>
      <c r="AA53">
        <v>1769</v>
      </c>
      <c r="AB53">
        <v>0.05</v>
      </c>
      <c r="AC53">
        <v>8.9108910891089119E-3</v>
      </c>
    </row>
    <row r="54" spans="1:29">
      <c r="A54" s="111">
        <v>1770</v>
      </c>
      <c r="B54" s="115">
        <v>1.54</v>
      </c>
      <c r="C54" s="150"/>
      <c r="D54" s="112">
        <v>0.05</v>
      </c>
      <c r="E54" s="115">
        <v>0.39990234375</v>
      </c>
      <c r="F54" s="152"/>
      <c r="G54" s="155"/>
      <c r="H54" s="115">
        <v>2.4666666666666668</v>
      </c>
      <c r="I54" s="115"/>
      <c r="J54" s="115"/>
      <c r="K54" s="154"/>
      <c r="L54" s="155"/>
      <c r="M54" s="115"/>
      <c r="N54" s="115">
        <v>1.17</v>
      </c>
      <c r="O54" s="150"/>
      <c r="P54" s="155"/>
      <c r="Q54" s="115"/>
      <c r="R54" s="111"/>
      <c r="S54" s="111">
        <v>0.99009900990099009</v>
      </c>
      <c r="T54" s="115">
        <v>18</v>
      </c>
      <c r="U54" s="150"/>
      <c r="V54" s="206">
        <f t="shared" si="9"/>
        <v>8.9108910891089119E-3</v>
      </c>
      <c r="AA54">
        <v>1770</v>
      </c>
      <c r="AB54">
        <v>0.05</v>
      </c>
      <c r="AC54">
        <v>8.9108910891089119E-3</v>
      </c>
    </row>
    <row r="55" spans="1:29">
      <c r="A55" s="111">
        <v>1771</v>
      </c>
      <c r="B55" s="115">
        <v>1.3433333333333335</v>
      </c>
      <c r="C55" s="150"/>
      <c r="D55" s="112"/>
      <c r="E55" s="115"/>
      <c r="F55" s="152"/>
      <c r="G55" s="155"/>
      <c r="H55" s="115"/>
      <c r="I55" s="115"/>
      <c r="J55" s="115"/>
      <c r="K55" s="154"/>
      <c r="L55" s="155"/>
      <c r="M55" s="115"/>
      <c r="N55" s="115"/>
      <c r="O55" s="150"/>
      <c r="P55" s="155"/>
      <c r="Q55" s="115"/>
      <c r="R55" s="111"/>
      <c r="S55" s="111">
        <v>0.98039215686274506</v>
      </c>
      <c r="T55" s="115">
        <v>18</v>
      </c>
      <c r="U55" s="150"/>
      <c r="AA55">
        <v>1771</v>
      </c>
    </row>
    <row r="56" spans="1:29">
      <c r="A56" s="111">
        <v>1772</v>
      </c>
      <c r="B56" s="115">
        <v>1.7342857142857142</v>
      </c>
      <c r="C56" s="150"/>
      <c r="D56" s="112">
        <v>2.9000000000000001E-2</v>
      </c>
      <c r="E56" s="115">
        <v>0.39990234375</v>
      </c>
      <c r="F56" s="152"/>
      <c r="G56" s="155"/>
      <c r="H56" s="115">
        <v>2.27</v>
      </c>
      <c r="I56" s="115"/>
      <c r="J56" s="115"/>
      <c r="K56" s="154"/>
      <c r="L56" s="155"/>
      <c r="M56" s="115"/>
      <c r="N56" s="115">
        <v>3.35</v>
      </c>
      <c r="O56" s="150">
        <f>N56*0.257732</f>
        <v>0.86340220000000012</v>
      </c>
      <c r="P56" s="155"/>
      <c r="Q56" s="115"/>
      <c r="R56" s="111"/>
      <c r="S56" s="111">
        <v>0.970873786407767</v>
      </c>
      <c r="T56" s="115">
        <v>18</v>
      </c>
      <c r="U56" s="150"/>
      <c r="V56" s="206">
        <f t="shared" ref="V56" si="10">D56*S56*T56/100</f>
        <v>5.0679611650485444E-3</v>
      </c>
      <c r="AA56">
        <v>1772</v>
      </c>
      <c r="AB56">
        <v>2.9000000000000001E-2</v>
      </c>
      <c r="AC56">
        <v>5.0679611650485444E-3</v>
      </c>
    </row>
    <row r="57" spans="1:29">
      <c r="A57" s="111">
        <v>1773</v>
      </c>
      <c r="B57" s="115">
        <v>1.7914285714285714</v>
      </c>
      <c r="C57" s="150"/>
      <c r="D57" s="112"/>
      <c r="E57" s="115"/>
      <c r="F57" s="152"/>
      <c r="G57" s="155"/>
      <c r="H57" s="115"/>
      <c r="I57" s="115"/>
      <c r="J57" s="115"/>
      <c r="K57" s="154"/>
      <c r="L57" s="155"/>
      <c r="M57" s="115"/>
      <c r="N57" s="115"/>
      <c r="O57" s="150"/>
      <c r="P57" s="155"/>
      <c r="Q57" s="115"/>
      <c r="R57" s="111"/>
      <c r="S57" s="111">
        <v>0.98039215686274506</v>
      </c>
      <c r="T57" s="115">
        <v>18</v>
      </c>
      <c r="U57" s="150"/>
      <c r="AA57">
        <v>1773</v>
      </c>
    </row>
    <row r="58" spans="1:29">
      <c r="A58" s="111">
        <v>1774</v>
      </c>
      <c r="B58" s="115">
        <v>2.0300000000000002</v>
      </c>
      <c r="C58" s="150"/>
      <c r="D58" s="112"/>
      <c r="E58" s="115"/>
      <c r="F58" s="152"/>
      <c r="G58" s="155"/>
      <c r="H58" s="115"/>
      <c r="I58" s="115"/>
      <c r="J58" s="115"/>
      <c r="K58" s="154"/>
      <c r="L58" s="155"/>
      <c r="M58" s="115"/>
      <c r="N58" s="115"/>
      <c r="O58" s="150"/>
      <c r="P58" s="155"/>
      <c r="Q58" s="115"/>
      <c r="R58" s="111"/>
      <c r="S58" s="111">
        <v>1</v>
      </c>
      <c r="T58" s="115">
        <v>18</v>
      </c>
      <c r="U58" s="150"/>
      <c r="AA58">
        <v>1774</v>
      </c>
    </row>
    <row r="59" spans="1:29">
      <c r="A59" s="111">
        <v>1775</v>
      </c>
      <c r="B59" s="115">
        <v>2.6475</v>
      </c>
      <c r="C59" s="150"/>
      <c r="D59" s="112">
        <v>5.5000000000000007E-2</v>
      </c>
      <c r="E59" s="115">
        <v>0.39990234375</v>
      </c>
      <c r="F59" s="152"/>
      <c r="G59" s="155"/>
      <c r="H59" s="115">
        <v>2.5</v>
      </c>
      <c r="I59" s="115">
        <v>0.09</v>
      </c>
      <c r="J59" s="115"/>
      <c r="K59" s="154"/>
      <c r="L59" s="155"/>
      <c r="M59" s="115"/>
      <c r="N59" s="115">
        <v>2.4</v>
      </c>
      <c r="O59" s="150"/>
      <c r="P59" s="155"/>
      <c r="Q59" s="115"/>
      <c r="R59" s="111"/>
      <c r="S59" s="111">
        <v>0.99009900990099009</v>
      </c>
      <c r="T59" s="115">
        <v>18</v>
      </c>
      <c r="U59" s="150"/>
      <c r="V59" s="206">
        <f t="shared" ref="V59" si="11">D59*S59*T59/100</f>
        <v>9.8019801980198037E-3</v>
      </c>
      <c r="AA59">
        <v>1775</v>
      </c>
      <c r="AB59">
        <v>5.5000000000000007E-2</v>
      </c>
      <c r="AC59">
        <v>9.8019801980198037E-3</v>
      </c>
    </row>
    <row r="60" spans="1:29">
      <c r="A60" s="111">
        <v>1776</v>
      </c>
      <c r="B60" s="115">
        <v>2.1825000000000001</v>
      </c>
      <c r="C60" s="150"/>
      <c r="D60" s="112"/>
      <c r="E60" s="115"/>
      <c r="F60" s="152"/>
      <c r="G60" s="155"/>
      <c r="H60" s="115">
        <v>2</v>
      </c>
      <c r="I60" s="115"/>
      <c r="J60" s="115"/>
      <c r="K60" s="154"/>
      <c r="L60" s="155"/>
      <c r="M60" s="115"/>
      <c r="N60" s="115">
        <v>4.32</v>
      </c>
      <c r="O60" s="150"/>
      <c r="P60" s="155"/>
      <c r="Q60" s="115"/>
      <c r="R60" s="111"/>
      <c r="S60" s="111">
        <v>0.99009900990099009</v>
      </c>
      <c r="T60" s="115">
        <v>18</v>
      </c>
      <c r="U60" s="150"/>
      <c r="AA60">
        <v>1776</v>
      </c>
    </row>
    <row r="61" spans="1:29">
      <c r="A61" s="111">
        <v>1777</v>
      </c>
      <c r="B61" s="115">
        <v>1.66</v>
      </c>
      <c r="C61" s="150">
        <v>2.5000000000000001E-2</v>
      </c>
      <c r="D61" s="112">
        <v>0.06</v>
      </c>
      <c r="E61" s="115">
        <v>0.4</v>
      </c>
      <c r="F61" s="152">
        <f>2.110043*B61+12.19512*C61+12.19512*D61+E61*0.42735</f>
        <v>4.7101965799999999</v>
      </c>
      <c r="G61" s="155">
        <f>F61*100/R61</f>
        <v>76.992759107307691</v>
      </c>
      <c r="H61" s="115">
        <v>2</v>
      </c>
      <c r="I61" s="115">
        <v>4.4999999999999998E-2</v>
      </c>
      <c r="J61" s="115">
        <v>1.2</v>
      </c>
      <c r="K61" s="154">
        <f>H61*0.15873+I61*7.042254+J61*0.079365</f>
        <v>0.72959943000000005</v>
      </c>
      <c r="L61" s="155">
        <f>K61*100/R61</f>
        <v>11.926014595089152</v>
      </c>
      <c r="M61" s="115">
        <f>F61+K61</f>
        <v>5.4397960100000002</v>
      </c>
      <c r="N61" s="115">
        <v>1.5</v>
      </c>
      <c r="O61" s="150">
        <f>N61*0.257732</f>
        <v>0.386598</v>
      </c>
      <c r="P61" s="155">
        <f>O61*100/R61</f>
        <v>6.3193215356983963</v>
      </c>
      <c r="Q61" s="115">
        <f>(F61+K61+O61)*0.05</f>
        <v>0.29131970050000006</v>
      </c>
      <c r="R61" s="115">
        <f>F61+K61+O61+Q61</f>
        <v>6.1177137105000003</v>
      </c>
      <c r="S61" s="115">
        <v>0.99009900990099009</v>
      </c>
      <c r="T61" s="115">
        <v>18</v>
      </c>
      <c r="U61" s="150">
        <f>R61*S61*T61/100</f>
        <v>1.0902856117722772</v>
      </c>
      <c r="V61" s="206">
        <f t="shared" ref="V61:V62" si="12">D61*S61*T61/100</f>
        <v>1.0693069306930694E-2</v>
      </c>
      <c r="AA61">
        <v>1777</v>
      </c>
      <c r="AB61">
        <v>0.06</v>
      </c>
      <c r="AC61">
        <v>1.0693069306930694E-2</v>
      </c>
    </row>
    <row r="62" spans="1:29">
      <c r="A62" s="111">
        <v>1778</v>
      </c>
      <c r="B62" s="115">
        <v>1.4249999999999998</v>
      </c>
      <c r="C62" s="150"/>
      <c r="D62" s="112">
        <v>0.02</v>
      </c>
      <c r="E62" s="115">
        <v>0.39990234375</v>
      </c>
      <c r="F62" s="152"/>
      <c r="G62" s="155"/>
      <c r="H62" s="115"/>
      <c r="I62" s="115"/>
      <c r="J62" s="115">
        <v>4</v>
      </c>
      <c r="K62" s="154"/>
      <c r="L62" s="155"/>
      <c r="M62" s="115"/>
      <c r="N62" s="115">
        <v>1.65</v>
      </c>
      <c r="O62" s="150"/>
      <c r="P62" s="155"/>
      <c r="Q62" s="115"/>
      <c r="R62" s="111"/>
      <c r="S62" s="111">
        <v>0.99009900990099009</v>
      </c>
      <c r="T62" s="115">
        <v>18</v>
      </c>
      <c r="U62" s="150"/>
      <c r="V62" s="206">
        <f t="shared" si="12"/>
        <v>3.5643564356435641E-3</v>
      </c>
      <c r="AA62">
        <v>1778</v>
      </c>
      <c r="AB62">
        <v>0.02</v>
      </c>
      <c r="AC62">
        <v>3.5643564356435641E-3</v>
      </c>
    </row>
    <row r="63" spans="1:29">
      <c r="A63" s="111">
        <v>1779</v>
      </c>
      <c r="B63" s="115">
        <v>1.855</v>
      </c>
      <c r="C63" s="150"/>
      <c r="D63" s="112"/>
      <c r="E63" s="115"/>
      <c r="F63" s="152"/>
      <c r="G63" s="155"/>
      <c r="H63" s="115"/>
      <c r="I63" s="115">
        <v>0.06</v>
      </c>
      <c r="J63" s="115"/>
      <c r="K63" s="154"/>
      <c r="L63" s="155"/>
      <c r="M63" s="115"/>
      <c r="N63" s="115"/>
      <c r="O63" s="150"/>
      <c r="P63" s="155"/>
      <c r="Q63" s="115"/>
      <c r="R63" s="111"/>
      <c r="S63" s="111">
        <v>0.99009900990099009</v>
      </c>
      <c r="T63" s="115">
        <v>18</v>
      </c>
      <c r="U63" s="150"/>
      <c r="AA63">
        <v>1779</v>
      </c>
    </row>
    <row r="64" spans="1:29">
      <c r="A64" s="111">
        <v>1780</v>
      </c>
      <c r="B64" s="115">
        <v>1.98</v>
      </c>
      <c r="C64" s="150">
        <v>4.4999999999999998E-2</v>
      </c>
      <c r="D64" s="112"/>
      <c r="E64" s="115"/>
      <c r="F64" s="152"/>
      <c r="G64" s="155"/>
      <c r="H64" s="115">
        <v>2.8</v>
      </c>
      <c r="I64" s="115">
        <v>0.05</v>
      </c>
      <c r="J64" s="115"/>
      <c r="K64" s="154"/>
      <c r="L64" s="155"/>
      <c r="M64" s="115"/>
      <c r="N64" s="115">
        <v>1.98</v>
      </c>
      <c r="O64" s="150"/>
      <c r="P64" s="155"/>
      <c r="Q64" s="115"/>
      <c r="R64" s="111"/>
      <c r="S64" s="111">
        <v>0.99009900990099009</v>
      </c>
      <c r="T64" s="115">
        <v>18</v>
      </c>
      <c r="U64" s="150"/>
      <c r="AA64">
        <v>1780</v>
      </c>
    </row>
    <row r="65" spans="1:29">
      <c r="A65" s="111">
        <v>1781</v>
      </c>
      <c r="B65" s="150">
        <v>1.5175000000000001</v>
      </c>
      <c r="C65" s="150"/>
      <c r="D65" s="112"/>
      <c r="E65" s="115"/>
      <c r="F65" s="152"/>
      <c r="G65" s="155"/>
      <c r="H65" s="115"/>
      <c r="I65" s="115">
        <v>4.2499999999999996E-2</v>
      </c>
      <c r="J65" s="115"/>
      <c r="K65" s="154"/>
      <c r="L65" s="155"/>
      <c r="M65" s="115"/>
      <c r="N65" s="115"/>
      <c r="O65" s="150"/>
      <c r="P65" s="155"/>
      <c r="Q65" s="115"/>
      <c r="R65" s="111"/>
      <c r="S65" s="111">
        <v>0.99009900990099009</v>
      </c>
      <c r="T65" s="115">
        <v>18</v>
      </c>
      <c r="U65" s="150"/>
      <c r="AA65">
        <v>1781</v>
      </c>
    </row>
    <row r="66" spans="1:29">
      <c r="A66" s="111">
        <v>1782</v>
      </c>
      <c r="B66" s="115">
        <v>3.125</v>
      </c>
      <c r="C66" s="150">
        <v>5.8125000000000003E-2</v>
      </c>
      <c r="D66" s="112">
        <v>0.11899999999999999</v>
      </c>
      <c r="E66" s="115"/>
      <c r="F66" s="152"/>
      <c r="G66" s="155"/>
      <c r="H66" s="115"/>
      <c r="I66" s="115"/>
      <c r="J66" s="115"/>
      <c r="K66" s="154"/>
      <c r="L66" s="155"/>
      <c r="M66" s="115"/>
      <c r="N66" s="115">
        <v>1.5</v>
      </c>
      <c r="O66" s="150"/>
      <c r="P66" s="155"/>
      <c r="Q66" s="115"/>
      <c r="R66" s="111"/>
      <c r="S66" s="111">
        <v>0.99009900990099009</v>
      </c>
      <c r="T66" s="115">
        <v>18</v>
      </c>
      <c r="U66" s="150"/>
      <c r="V66" s="206">
        <f t="shared" ref="V66:V87" si="13">D66*S66*T66/100</f>
        <v>2.1207920792079209E-2</v>
      </c>
      <c r="AA66">
        <v>1782</v>
      </c>
      <c r="AB66">
        <v>0.11899999999999999</v>
      </c>
      <c r="AC66">
        <v>2.1207920792079209E-2</v>
      </c>
    </row>
    <row r="67" spans="1:29">
      <c r="A67" s="111">
        <v>1783</v>
      </c>
      <c r="B67" s="115">
        <v>3.125</v>
      </c>
      <c r="C67" s="150">
        <v>1.7500000000000002E-2</v>
      </c>
      <c r="D67" s="112">
        <v>0.11899999999999999</v>
      </c>
      <c r="E67" s="115"/>
      <c r="F67" s="152"/>
      <c r="G67" s="155"/>
      <c r="H67" s="115"/>
      <c r="I67" s="115"/>
      <c r="J67" s="115"/>
      <c r="K67" s="154"/>
      <c r="L67" s="155"/>
      <c r="M67" s="115"/>
      <c r="N67" s="115"/>
      <c r="O67" s="150"/>
      <c r="P67" s="155"/>
      <c r="Q67" s="115"/>
      <c r="R67" s="111"/>
      <c r="S67" s="111">
        <v>0.99009900990099009</v>
      </c>
      <c r="T67" s="115">
        <v>18</v>
      </c>
      <c r="U67" s="150"/>
      <c r="V67" s="206">
        <f t="shared" si="13"/>
        <v>2.1207920792079209E-2</v>
      </c>
      <c r="AA67">
        <v>1783</v>
      </c>
      <c r="AB67">
        <v>0.11899999999999999</v>
      </c>
      <c r="AC67">
        <v>2.1207920792079209E-2</v>
      </c>
    </row>
    <row r="68" spans="1:29">
      <c r="A68" s="111">
        <v>1784</v>
      </c>
      <c r="B68" s="115">
        <v>3.125</v>
      </c>
      <c r="C68" s="150">
        <v>1.7500000000000002E-2</v>
      </c>
      <c r="D68" s="112">
        <v>0.11899999999999999</v>
      </c>
      <c r="E68" s="115"/>
      <c r="F68" s="152"/>
      <c r="G68" s="155"/>
      <c r="H68" s="115"/>
      <c r="I68" s="115"/>
      <c r="J68" s="115"/>
      <c r="K68" s="154"/>
      <c r="L68" s="155"/>
      <c r="M68" s="115"/>
      <c r="N68" s="115"/>
      <c r="O68" s="150"/>
      <c r="P68" s="155"/>
      <c r="Q68" s="115"/>
      <c r="R68" s="111"/>
      <c r="S68" s="111">
        <v>0.98039215686274506</v>
      </c>
      <c r="T68" s="115">
        <v>18</v>
      </c>
      <c r="U68" s="150"/>
      <c r="V68" s="206">
        <f t="shared" si="13"/>
        <v>2.0999999999999998E-2</v>
      </c>
      <c r="AA68">
        <v>1784</v>
      </c>
      <c r="AB68">
        <v>0.11899999999999999</v>
      </c>
      <c r="AC68">
        <v>2.0999999999999998E-2</v>
      </c>
    </row>
    <row r="69" spans="1:29">
      <c r="A69" s="111">
        <v>1785</v>
      </c>
      <c r="B69" s="115">
        <v>2.84</v>
      </c>
      <c r="C69" s="150">
        <v>3.9821428571428563E-2</v>
      </c>
      <c r="D69" s="112">
        <v>0.11899999999999999</v>
      </c>
      <c r="E69" s="115"/>
      <c r="F69" s="152"/>
      <c r="G69" s="155"/>
      <c r="H69" s="115"/>
      <c r="I69" s="115"/>
      <c r="J69" s="115"/>
      <c r="K69" s="154"/>
      <c r="L69" s="155"/>
      <c r="M69" s="115"/>
      <c r="N69" s="115"/>
      <c r="O69" s="150"/>
      <c r="P69" s="155"/>
      <c r="Q69" s="115"/>
      <c r="R69" s="111"/>
      <c r="S69" s="111">
        <v>0.98039215686274506</v>
      </c>
      <c r="T69" s="115">
        <v>18</v>
      </c>
      <c r="U69" s="150"/>
      <c r="V69" s="206">
        <f t="shared" si="13"/>
        <v>2.0999999999999998E-2</v>
      </c>
      <c r="AA69">
        <v>1785</v>
      </c>
      <c r="AB69">
        <v>0.11899999999999999</v>
      </c>
      <c r="AC69">
        <v>2.0999999999999998E-2</v>
      </c>
    </row>
    <row r="70" spans="1:29">
      <c r="A70" s="111">
        <v>1786</v>
      </c>
      <c r="B70" s="115">
        <v>3.105</v>
      </c>
      <c r="C70" s="150">
        <v>1.5663003663003664E-2</v>
      </c>
      <c r="D70" s="112">
        <v>7.2000000000000008E-2</v>
      </c>
      <c r="E70" s="115">
        <v>0.4</v>
      </c>
      <c r="F70" s="152">
        <f t="shared" ref="F70:F87" si="14">2.110043*B70+12.19512*C70+12.19512*D70+E70*0.42735</f>
        <v>7.79168436423077</v>
      </c>
      <c r="G70" s="155">
        <f>F70*100/R70</f>
        <v>73.494198984510334</v>
      </c>
      <c r="H70" s="115">
        <v>3.6850000000000001</v>
      </c>
      <c r="I70" s="115">
        <v>4.2599999999999999E-2</v>
      </c>
      <c r="J70" s="115">
        <v>1.6</v>
      </c>
      <c r="K70" s="154">
        <f>H70*0.15873+I70*7.042254+J70*0.079365</f>
        <v>1.0119040704</v>
      </c>
      <c r="L70" s="155">
        <f>K70*100/R70</f>
        <v>9.5446729650162876</v>
      </c>
      <c r="M70" s="115">
        <f>F70+K70</f>
        <v>8.80358843463077</v>
      </c>
      <c r="N70" s="115">
        <v>1.2933333333333332</v>
      </c>
      <c r="O70" s="150">
        <f t="shared" ref="O70:O83" si="15">N70*0.257732</f>
        <v>0.33333338666666668</v>
      </c>
      <c r="P70" s="155">
        <f>N70*100/R70</f>
        <v>12.199223288568623</v>
      </c>
      <c r="Q70" s="115">
        <f>(F70+K70+N70)*0.05</f>
        <v>0.50484608839820522</v>
      </c>
      <c r="R70" s="115">
        <f>F70+K70+N70+Q70</f>
        <v>10.601767856362308</v>
      </c>
      <c r="S70" s="115">
        <v>0.98039215686274506</v>
      </c>
      <c r="T70" s="115">
        <v>18</v>
      </c>
      <c r="U70" s="150">
        <f t="shared" ref="U70:U73" si="16">R70*S70*T70/100</f>
        <v>1.8709002099462895</v>
      </c>
      <c r="V70" s="206">
        <f t="shared" si="13"/>
        <v>1.2705882352941176E-2</v>
      </c>
      <c r="AA70">
        <v>1786</v>
      </c>
      <c r="AB70">
        <v>7.2000000000000008E-2</v>
      </c>
      <c r="AC70">
        <v>1.2705882352941176E-2</v>
      </c>
    </row>
    <row r="71" spans="1:29">
      <c r="A71" s="111">
        <v>1787</v>
      </c>
      <c r="B71" s="115">
        <v>5.1639999999999997</v>
      </c>
      <c r="C71" s="150">
        <v>1.41875E-2</v>
      </c>
      <c r="D71" s="112">
        <v>8.666666666666667E-2</v>
      </c>
      <c r="E71" s="115">
        <v>0.39990234375</v>
      </c>
      <c r="F71" s="152">
        <f t="shared" si="14"/>
        <v>12.297088983601562</v>
      </c>
      <c r="G71" s="155"/>
      <c r="H71" s="115">
        <v>4</v>
      </c>
      <c r="I71" s="156">
        <f>(I70+I72)/2</f>
        <v>3.3799999999999997E-2</v>
      </c>
      <c r="J71" s="156">
        <f>J70</f>
        <v>1.6</v>
      </c>
      <c r="K71" s="154">
        <f>H71*0.15873+I71*7.042254+J71*0.079365</f>
        <v>0.99993218520000005</v>
      </c>
      <c r="L71" s="155"/>
      <c r="M71" s="115"/>
      <c r="N71" s="115">
        <v>4.108888888888889</v>
      </c>
      <c r="O71" s="150">
        <f t="shared" si="15"/>
        <v>1.0589921511111111</v>
      </c>
      <c r="P71" s="155"/>
      <c r="Q71" s="115">
        <f>(F71+K71+N71)*0.05</f>
        <v>0.87029550288452262</v>
      </c>
      <c r="R71" s="115">
        <f>F71+K71+N71+Q71</f>
        <v>18.276205560574976</v>
      </c>
      <c r="S71" s="115">
        <v>0.970873786407767</v>
      </c>
      <c r="T71" s="115">
        <v>18</v>
      </c>
      <c r="U71" s="150">
        <f t="shared" si="16"/>
        <v>3.1939000008771803</v>
      </c>
      <c r="V71" s="206">
        <f t="shared" si="13"/>
        <v>1.5145631067961164E-2</v>
      </c>
      <c r="AA71">
        <v>1787</v>
      </c>
      <c r="AB71">
        <v>8.666666666666667E-2</v>
      </c>
      <c r="AC71">
        <v>1.5145631067961164E-2</v>
      </c>
    </row>
    <row r="72" spans="1:29">
      <c r="A72" s="111">
        <v>1788</v>
      </c>
      <c r="B72" s="115">
        <v>3.5</v>
      </c>
      <c r="C72" s="150">
        <v>2.375E-2</v>
      </c>
      <c r="D72" s="112">
        <v>8.4499999999999992E-2</v>
      </c>
      <c r="E72" s="115">
        <v>0.39990234375</v>
      </c>
      <c r="F72" s="152">
        <f t="shared" si="14"/>
        <v>8.8761705066015626</v>
      </c>
      <c r="G72" s="155"/>
      <c r="H72" s="156">
        <f>(H71+H73)/2</f>
        <v>4.375</v>
      </c>
      <c r="I72" s="115">
        <v>2.5000000000000001E-2</v>
      </c>
      <c r="J72" s="156">
        <f>J71</f>
        <v>1.6</v>
      </c>
      <c r="K72" s="154">
        <f>H72*0.15873+I72*7.042254+J72*0.079365</f>
        <v>0.99748409999999998</v>
      </c>
      <c r="L72" s="155"/>
      <c r="M72" s="115"/>
      <c r="N72" s="115">
        <v>2.1</v>
      </c>
      <c r="O72" s="150">
        <f t="shared" si="15"/>
        <v>0.54123720000000008</v>
      </c>
      <c r="P72" s="155"/>
      <c r="Q72" s="115">
        <f>(F72+K72+N72)*0.05</f>
        <v>0.59868273033007813</v>
      </c>
      <c r="R72" s="115">
        <f>F72+K72+N72+Q72</f>
        <v>12.572337336931639</v>
      </c>
      <c r="S72" s="115">
        <v>0.92592592592592582</v>
      </c>
      <c r="T72" s="115">
        <v>18</v>
      </c>
      <c r="U72" s="150">
        <f t="shared" si="16"/>
        <v>2.0953895561552729</v>
      </c>
      <c r="V72" s="206">
        <f t="shared" si="13"/>
        <v>1.408333333333333E-2</v>
      </c>
      <c r="AA72">
        <v>1788</v>
      </c>
      <c r="AB72">
        <v>8.4499999999999992E-2</v>
      </c>
      <c r="AC72">
        <v>1.408333333333333E-2</v>
      </c>
    </row>
    <row r="73" spans="1:29">
      <c r="A73" s="111">
        <v>1789</v>
      </c>
      <c r="B73" s="115">
        <v>3.5</v>
      </c>
      <c r="C73" s="150">
        <v>2.6249999999999999E-2</v>
      </c>
      <c r="D73" s="112">
        <v>8.7499999999999994E-2</v>
      </c>
      <c r="E73" s="115">
        <v>0.39990234375</v>
      </c>
      <c r="F73" s="152">
        <f t="shared" si="14"/>
        <v>8.943243666601564</v>
      </c>
      <c r="G73" s="155"/>
      <c r="H73" s="115">
        <v>4.75</v>
      </c>
      <c r="I73" s="115">
        <v>0.08</v>
      </c>
      <c r="J73" s="156">
        <f>J72</f>
        <v>1.6</v>
      </c>
      <c r="K73" s="154"/>
      <c r="L73" s="155"/>
      <c r="M73" s="115"/>
      <c r="N73" s="115">
        <v>1.5333333333333332</v>
      </c>
      <c r="O73" s="150">
        <f t="shared" si="15"/>
        <v>0.39518906666666664</v>
      </c>
      <c r="P73" s="155"/>
      <c r="Q73" s="115">
        <f>(F73+K73+N73)*0.05</f>
        <v>0.52382884999674484</v>
      </c>
      <c r="R73" s="115">
        <f>F73+K73+N73+Q73</f>
        <v>11.000405849931642</v>
      </c>
      <c r="S73" s="115">
        <v>0.9174311926605504</v>
      </c>
      <c r="T73" s="115">
        <v>18</v>
      </c>
      <c r="U73" s="150">
        <f t="shared" si="16"/>
        <v>1.8165807825575189</v>
      </c>
      <c r="V73" s="206">
        <f t="shared" si="13"/>
        <v>1.4449541284403669E-2</v>
      </c>
      <c r="AA73">
        <v>1789</v>
      </c>
      <c r="AB73">
        <v>8.7499999999999994E-2</v>
      </c>
      <c r="AC73">
        <v>1.4449541284403669E-2</v>
      </c>
    </row>
    <row r="74" spans="1:29">
      <c r="A74" s="111">
        <v>1790</v>
      </c>
      <c r="B74" s="115">
        <v>3.25</v>
      </c>
      <c r="C74" s="150">
        <v>4.8125000000000001E-2</v>
      </c>
      <c r="D74" s="112">
        <v>0.10793749999999999</v>
      </c>
      <c r="E74" s="115">
        <v>0.39990234375</v>
      </c>
      <c r="F74" s="152">
        <f t="shared" si="14"/>
        <v>8.9317389316015632</v>
      </c>
      <c r="G74" s="155"/>
      <c r="H74" s="115">
        <v>4.7</v>
      </c>
      <c r="I74" s="115"/>
      <c r="J74" s="115"/>
      <c r="K74" s="154"/>
      <c r="L74" s="155"/>
      <c r="M74" s="115"/>
      <c r="N74" s="115">
        <v>1</v>
      </c>
      <c r="O74" s="150">
        <f t="shared" si="15"/>
        <v>0.25773200000000002</v>
      </c>
      <c r="P74" s="155"/>
      <c r="Q74" s="115"/>
      <c r="R74" s="111"/>
      <c r="S74" s="111">
        <v>0.86956521739130443</v>
      </c>
      <c r="T74" s="115">
        <v>18</v>
      </c>
      <c r="U74" s="150"/>
      <c r="V74" s="206">
        <f t="shared" si="13"/>
        <v>1.6894565217391303E-2</v>
      </c>
      <c r="AA74">
        <v>1790</v>
      </c>
      <c r="AB74">
        <v>0.10793749999999999</v>
      </c>
      <c r="AC74">
        <v>1.6894565217391303E-2</v>
      </c>
    </row>
    <row r="75" spans="1:29">
      <c r="A75" s="111">
        <v>1791</v>
      </c>
      <c r="B75" s="115">
        <v>2.6599999999999997</v>
      </c>
      <c r="C75" s="150">
        <v>4.8125000000000001E-2</v>
      </c>
      <c r="D75" s="112">
        <v>0.11437499999999999</v>
      </c>
      <c r="E75" s="115">
        <v>0.39990234375</v>
      </c>
      <c r="F75" s="152">
        <f t="shared" si="14"/>
        <v>7.7653196466015624</v>
      </c>
      <c r="G75" s="155"/>
      <c r="H75" s="115">
        <v>4.8499999999999996</v>
      </c>
      <c r="I75" s="115"/>
      <c r="J75" s="115"/>
      <c r="K75" s="154"/>
      <c r="L75" s="155"/>
      <c r="M75" s="115"/>
      <c r="N75" s="115">
        <v>1.1000000000000001</v>
      </c>
      <c r="O75" s="150">
        <f t="shared" si="15"/>
        <v>0.28350520000000007</v>
      </c>
      <c r="P75" s="155"/>
      <c r="Q75" s="115"/>
      <c r="R75" s="111"/>
      <c r="S75" s="111">
        <v>0.81300813008130079</v>
      </c>
      <c r="T75" s="115">
        <v>18</v>
      </c>
      <c r="U75" s="150"/>
      <c r="V75" s="206">
        <f t="shared" si="13"/>
        <v>1.6737804878048778E-2</v>
      </c>
      <c r="AA75">
        <v>1791</v>
      </c>
      <c r="AB75">
        <v>0.11437499999999999</v>
      </c>
      <c r="AC75">
        <v>1.6737804878048778E-2</v>
      </c>
    </row>
    <row r="76" spans="1:29">
      <c r="A76" s="111">
        <v>1792</v>
      </c>
      <c r="B76" s="115">
        <v>3.3</v>
      </c>
      <c r="C76" s="150">
        <v>4.8125000000000001E-2</v>
      </c>
      <c r="D76" s="112">
        <v>0.11750000000000001</v>
      </c>
      <c r="E76" s="115">
        <v>0.39990234375</v>
      </c>
      <c r="F76" s="152">
        <f t="shared" si="14"/>
        <v>9.1538569166015638</v>
      </c>
      <c r="G76" s="155"/>
      <c r="H76" s="115">
        <v>5.3</v>
      </c>
      <c r="I76" s="115">
        <v>0.06</v>
      </c>
      <c r="J76" s="156">
        <v>3.64</v>
      </c>
      <c r="K76" s="154"/>
      <c r="L76" s="155"/>
      <c r="M76" s="115"/>
      <c r="N76" s="115">
        <v>1</v>
      </c>
      <c r="O76" s="150">
        <f t="shared" si="15"/>
        <v>0.25773200000000002</v>
      </c>
      <c r="P76" s="155"/>
      <c r="Q76" s="115">
        <f t="shared" ref="Q76:Q85" si="17">(F76+K76+O76)*0.05</f>
        <v>0.47057944583007827</v>
      </c>
      <c r="R76" s="115">
        <f t="shared" ref="R76:R85" si="18">F76+K76+O76+Q76</f>
        <v>9.8821683624316421</v>
      </c>
      <c r="S76" s="115">
        <v>0.79365079365079361</v>
      </c>
      <c r="T76" s="115">
        <v>18</v>
      </c>
      <c r="U76" s="150">
        <f t="shared" ref="U76:U86" si="19">R76*S76*T76/100</f>
        <v>1.4117383374902346</v>
      </c>
      <c r="V76" s="206">
        <f t="shared" si="13"/>
        <v>1.6785714285714286E-2</v>
      </c>
      <c r="AA76">
        <v>1792</v>
      </c>
      <c r="AB76">
        <v>0.11750000000000001</v>
      </c>
      <c r="AC76">
        <v>1.6785714285714286E-2</v>
      </c>
    </row>
    <row r="77" spans="1:29">
      <c r="A77" s="111">
        <v>1793</v>
      </c>
      <c r="B77" s="150">
        <v>4.2350000000000003</v>
      </c>
      <c r="C77" s="150">
        <v>5.7812500000000003E-2</v>
      </c>
      <c r="D77" s="112">
        <v>0.12962499999999999</v>
      </c>
      <c r="E77" s="115">
        <v>0.4</v>
      </c>
      <c r="F77" s="152">
        <f t="shared" si="14"/>
        <v>11.392794910000001</v>
      </c>
      <c r="G77" s="155">
        <f t="shared" ref="G77:G85" si="20">F77*100/R77</f>
        <v>79.114370440426967</v>
      </c>
      <c r="H77" s="115">
        <v>5.0148148148148142</v>
      </c>
      <c r="I77" s="156">
        <v>0.05</v>
      </c>
      <c r="J77" s="115">
        <v>3.64</v>
      </c>
      <c r="K77" s="154">
        <f t="shared" ref="K77:K86" si="21">H77*0.15873+I77*7.042254+J77*0.079365</f>
        <v>1.4370028555555554</v>
      </c>
      <c r="L77" s="155">
        <f t="shared" ref="L77:L85" si="22">K77*100/R77</f>
        <v>9.9789013263623811</v>
      </c>
      <c r="M77" s="115">
        <f t="shared" ref="M77:M85" si="23">F77+K77</f>
        <v>12.829797765555556</v>
      </c>
      <c r="N77" s="115">
        <v>3.4333333333333336</v>
      </c>
      <c r="O77" s="150">
        <f t="shared" si="15"/>
        <v>0.88487986666666674</v>
      </c>
      <c r="P77" s="155">
        <f t="shared" ref="P77:P85" si="24">O77*100/R77</f>
        <v>6.1448234713058918</v>
      </c>
      <c r="Q77" s="115">
        <f t="shared" si="17"/>
        <v>0.68573388161111115</v>
      </c>
      <c r="R77" s="115">
        <f t="shared" si="18"/>
        <v>14.400411513833333</v>
      </c>
      <c r="S77" s="115">
        <v>0.7407407407407407</v>
      </c>
      <c r="T77" s="115">
        <v>18</v>
      </c>
      <c r="U77" s="150">
        <f t="shared" si="19"/>
        <v>1.920054868511111</v>
      </c>
      <c r="V77" s="206">
        <f t="shared" si="13"/>
        <v>1.7283333333333331E-2</v>
      </c>
      <c r="AA77">
        <v>1793</v>
      </c>
      <c r="AB77">
        <v>0.12962499999999999</v>
      </c>
      <c r="AC77">
        <v>1.7283333333333331E-2</v>
      </c>
    </row>
    <row r="78" spans="1:29">
      <c r="A78" s="111">
        <v>1794</v>
      </c>
      <c r="B78" s="150">
        <v>4</v>
      </c>
      <c r="C78" s="150">
        <v>4.2163461538461539E-2</v>
      </c>
      <c r="D78" s="112">
        <v>0.14879999999999999</v>
      </c>
      <c r="E78" s="115">
        <v>0.4</v>
      </c>
      <c r="F78" s="152">
        <f t="shared" si="14"/>
        <v>10.939934329076923</v>
      </c>
      <c r="G78" s="155">
        <f t="shared" si="20"/>
        <v>83.157127232017032</v>
      </c>
      <c r="H78" s="115">
        <v>4.46875</v>
      </c>
      <c r="I78" s="115">
        <v>0.04</v>
      </c>
      <c r="J78" s="115">
        <v>3.6419999999999999</v>
      </c>
      <c r="K78" s="154">
        <f t="shared" si="21"/>
        <v>1.2800621775000001</v>
      </c>
      <c r="L78" s="155">
        <f t="shared" si="22"/>
        <v>9.7300669416579471</v>
      </c>
      <c r="M78" s="115">
        <f t="shared" si="23"/>
        <v>12.219996506576923</v>
      </c>
      <c r="N78" s="115">
        <v>1.2</v>
      </c>
      <c r="O78" s="150">
        <f t="shared" si="15"/>
        <v>0.30927840000000001</v>
      </c>
      <c r="P78" s="155">
        <f t="shared" si="24"/>
        <v>2.3509010644202575</v>
      </c>
      <c r="Q78" s="115">
        <f t="shared" si="17"/>
        <v>0.62646374532884619</v>
      </c>
      <c r="R78" s="115">
        <f t="shared" si="18"/>
        <v>13.15573865190577</v>
      </c>
      <c r="S78" s="115">
        <v>0.70921985815602839</v>
      </c>
      <c r="T78" s="115">
        <v>18</v>
      </c>
      <c r="U78" s="150">
        <f t="shared" si="19"/>
        <v>1.6794559981156303</v>
      </c>
      <c r="V78" s="206">
        <f t="shared" si="13"/>
        <v>1.8995744680851065E-2</v>
      </c>
      <c r="AA78">
        <v>1794</v>
      </c>
      <c r="AB78">
        <v>0.14879999999999999</v>
      </c>
      <c r="AC78">
        <v>1.8995744680851065E-2</v>
      </c>
    </row>
    <row r="79" spans="1:29">
      <c r="A79" s="111">
        <v>1795</v>
      </c>
      <c r="B79" s="150">
        <v>4.3600000000000003</v>
      </c>
      <c r="C79" s="150">
        <v>4.2098214285714287E-2</v>
      </c>
      <c r="D79" s="112">
        <v>0.16285714285714287</v>
      </c>
      <c r="E79" s="115">
        <v>0.4</v>
      </c>
      <c r="F79" s="152">
        <f t="shared" si="14"/>
        <v>11.870182655000001</v>
      </c>
      <c r="G79" s="155">
        <f t="shared" si="20"/>
        <v>74.560576189995047</v>
      </c>
      <c r="H79" s="115">
        <v>9.6699999999999982</v>
      </c>
      <c r="I79" s="115">
        <v>0.04</v>
      </c>
      <c r="J79" s="115">
        <v>4.3</v>
      </c>
      <c r="K79" s="154">
        <f t="shared" si="21"/>
        <v>2.15787876</v>
      </c>
      <c r="L79" s="155">
        <f t="shared" si="22"/>
        <v>13.554356185579017</v>
      </c>
      <c r="M79" s="115">
        <f t="shared" si="23"/>
        <v>14.028061415</v>
      </c>
      <c r="N79" s="115">
        <v>4.3999999999999995</v>
      </c>
      <c r="O79" s="150">
        <f t="shared" si="15"/>
        <v>1.1340207999999998</v>
      </c>
      <c r="P79" s="155">
        <f t="shared" si="24"/>
        <v>7.123162862521184</v>
      </c>
      <c r="Q79" s="115">
        <f t="shared" si="17"/>
        <v>0.75810411075000006</v>
      </c>
      <c r="R79" s="115">
        <f t="shared" si="18"/>
        <v>15.92018632575</v>
      </c>
      <c r="S79" s="115">
        <v>0.68493150684931503</v>
      </c>
      <c r="T79" s="115">
        <v>18</v>
      </c>
      <c r="U79" s="150">
        <f t="shared" si="19"/>
        <v>1.9627626976952053</v>
      </c>
      <c r="V79" s="206">
        <f t="shared" si="13"/>
        <v>2.0078277886497062E-2</v>
      </c>
      <c r="AA79">
        <v>1795</v>
      </c>
      <c r="AB79">
        <v>0.16285714285714287</v>
      </c>
      <c r="AC79">
        <v>2.0078277886497062E-2</v>
      </c>
    </row>
    <row r="80" spans="1:29">
      <c r="A80" s="111">
        <v>1796</v>
      </c>
      <c r="B80" s="150">
        <v>5.5228571428571422</v>
      </c>
      <c r="C80" s="150">
        <v>4.4492187499999995E-2</v>
      </c>
      <c r="D80" s="112">
        <v>0.16921875</v>
      </c>
      <c r="E80" s="115">
        <v>0.4</v>
      </c>
      <c r="F80" s="152">
        <f t="shared" si="14"/>
        <v>14.430636582410713</v>
      </c>
      <c r="G80" s="155">
        <f t="shared" si="20"/>
        <v>81.682009645868376</v>
      </c>
      <c r="H80" s="115">
        <v>5.6583333333333341</v>
      </c>
      <c r="I80" s="115">
        <v>7.4999999999999997E-2</v>
      </c>
      <c r="J80" s="115">
        <v>4.84375</v>
      </c>
      <c r="K80" s="154">
        <f t="shared" si="21"/>
        <v>1.8107405187500001</v>
      </c>
      <c r="L80" s="155">
        <f t="shared" si="22"/>
        <v>10.249369365935063</v>
      </c>
      <c r="M80" s="115">
        <f t="shared" si="23"/>
        <v>16.241377101160712</v>
      </c>
      <c r="N80" s="115">
        <v>2.2666666666666666</v>
      </c>
      <c r="O80" s="150">
        <f t="shared" si="15"/>
        <v>0.58419253333333332</v>
      </c>
      <c r="P80" s="155">
        <f t="shared" si="24"/>
        <v>3.3067162262918042</v>
      </c>
      <c r="Q80" s="115">
        <f t="shared" si="17"/>
        <v>0.84127848172470232</v>
      </c>
      <c r="R80" s="115">
        <f t="shared" si="18"/>
        <v>17.666848116218748</v>
      </c>
      <c r="S80" s="115">
        <v>0.70422535211267612</v>
      </c>
      <c r="T80" s="115">
        <v>18</v>
      </c>
      <c r="U80" s="150">
        <f t="shared" si="19"/>
        <v>2.2394596203657566</v>
      </c>
      <c r="V80" s="206">
        <f t="shared" si="13"/>
        <v>2.1450264084507044E-2</v>
      </c>
      <c r="AA80">
        <v>1796</v>
      </c>
      <c r="AB80">
        <v>0.16921875</v>
      </c>
      <c r="AC80">
        <v>2.1450264084507044E-2</v>
      </c>
    </row>
    <row r="81" spans="1:29">
      <c r="A81" s="111">
        <v>1797</v>
      </c>
      <c r="B81" s="150">
        <v>4.71</v>
      </c>
      <c r="C81" s="150">
        <v>4.2291666666666665E-2</v>
      </c>
      <c r="D81" s="112">
        <v>0.13950000000000001</v>
      </c>
      <c r="E81" s="115">
        <v>0.4</v>
      </c>
      <c r="F81" s="152">
        <f t="shared" si="14"/>
        <v>12.32621372</v>
      </c>
      <c r="G81" s="155">
        <f t="shared" si="20"/>
        <v>81.025855934309106</v>
      </c>
      <c r="H81" s="115">
        <v>4.8</v>
      </c>
      <c r="I81" s="115">
        <v>0.1</v>
      </c>
      <c r="J81" s="156">
        <f>(J80+J83)/2</f>
        <v>4.8718749999999993</v>
      </c>
      <c r="K81" s="154">
        <f t="shared" si="21"/>
        <v>1.8527857593750001</v>
      </c>
      <c r="L81" s="155">
        <f t="shared" si="22"/>
        <v>12.179210536701472</v>
      </c>
      <c r="M81" s="115">
        <f t="shared" si="23"/>
        <v>14.178999479375001</v>
      </c>
      <c r="N81" s="115">
        <v>1.2</v>
      </c>
      <c r="O81" s="150">
        <f t="shared" si="15"/>
        <v>0.30927840000000001</v>
      </c>
      <c r="P81" s="155">
        <f t="shared" si="24"/>
        <v>2.0330287670846601</v>
      </c>
      <c r="Q81" s="115">
        <f t="shared" si="17"/>
        <v>0.72441389396875011</v>
      </c>
      <c r="R81" s="115">
        <f t="shared" si="18"/>
        <v>15.212691773343751</v>
      </c>
      <c r="S81" s="115">
        <v>0.79365079365079361</v>
      </c>
      <c r="T81" s="115">
        <v>18</v>
      </c>
      <c r="U81" s="150">
        <f t="shared" si="19"/>
        <v>2.1732416819062501</v>
      </c>
      <c r="V81" s="206">
        <f t="shared" si="13"/>
        <v>1.9928571428571431E-2</v>
      </c>
      <c r="AA81">
        <v>1797</v>
      </c>
      <c r="AB81">
        <v>0.13950000000000001</v>
      </c>
      <c r="AC81">
        <v>1.9928571428571431E-2</v>
      </c>
    </row>
    <row r="82" spans="1:29">
      <c r="A82" s="111">
        <v>1798</v>
      </c>
      <c r="B82" s="150">
        <v>4.0457142857142872</v>
      </c>
      <c r="C82" s="150">
        <v>6.1874999999999999E-2</v>
      </c>
      <c r="D82" s="112">
        <v>0.141875</v>
      </c>
      <c r="E82" s="115">
        <v>0.4</v>
      </c>
      <c r="F82" s="152">
        <f t="shared" si="14"/>
        <v>11.192326808571432</v>
      </c>
      <c r="G82" s="155">
        <f t="shared" si="20"/>
        <v>80.886390738040774</v>
      </c>
      <c r="H82" s="115">
        <v>4.8</v>
      </c>
      <c r="I82" s="115">
        <v>7.4999999999999997E-2</v>
      </c>
      <c r="J82" s="156">
        <v>4.87</v>
      </c>
      <c r="K82" s="154">
        <f t="shared" si="21"/>
        <v>1.6765805999999999</v>
      </c>
      <c r="L82" s="155">
        <f t="shared" si="22"/>
        <v>12.116564842581482</v>
      </c>
      <c r="M82" s="115">
        <f t="shared" si="23"/>
        <v>12.868907408571431</v>
      </c>
      <c r="N82" s="115">
        <v>1.2</v>
      </c>
      <c r="O82" s="150">
        <f t="shared" si="15"/>
        <v>0.30927840000000001</v>
      </c>
      <c r="P82" s="155">
        <f t="shared" si="24"/>
        <v>2.235139657472986</v>
      </c>
      <c r="Q82" s="115">
        <f t="shared" si="17"/>
        <v>0.6589092904285716</v>
      </c>
      <c r="R82" s="115">
        <f t="shared" si="18"/>
        <v>13.837095099000003</v>
      </c>
      <c r="S82" s="115">
        <v>0.72992700729927007</v>
      </c>
      <c r="T82" s="115">
        <v>18</v>
      </c>
      <c r="U82" s="150">
        <f t="shared" si="19"/>
        <v>1.8180124947591247</v>
      </c>
      <c r="V82" s="206">
        <f t="shared" si="13"/>
        <v>1.864051094890511E-2</v>
      </c>
      <c r="AA82">
        <v>1798</v>
      </c>
      <c r="AB82">
        <v>0.141875</v>
      </c>
      <c r="AC82">
        <v>1.864051094890511E-2</v>
      </c>
    </row>
    <row r="83" spans="1:29">
      <c r="A83" s="111">
        <v>1799</v>
      </c>
      <c r="B83" s="150">
        <v>3.99125</v>
      </c>
      <c r="C83" s="150">
        <v>4.9750000000000003E-2</v>
      </c>
      <c r="D83" s="112">
        <v>0.13750000000000001</v>
      </c>
      <c r="E83" s="115">
        <v>0.44</v>
      </c>
      <c r="F83" s="152">
        <f t="shared" si="14"/>
        <v>10.893279343750001</v>
      </c>
      <c r="G83" s="155">
        <f t="shared" si="20"/>
        <v>77.075262395262797</v>
      </c>
      <c r="H83" s="115">
        <v>6</v>
      </c>
      <c r="I83" s="156">
        <f>(0.08+0.09)/2</f>
        <v>8.4999999999999992E-2</v>
      </c>
      <c r="J83" s="115">
        <v>4.8999999999999995</v>
      </c>
      <c r="K83" s="154">
        <f t="shared" si="21"/>
        <v>1.93986009</v>
      </c>
      <c r="L83" s="155">
        <f t="shared" si="22"/>
        <v>13.725455919078417</v>
      </c>
      <c r="M83" s="115">
        <f t="shared" si="23"/>
        <v>12.83313943375</v>
      </c>
      <c r="N83" s="115">
        <v>2.4333333333333336</v>
      </c>
      <c r="O83" s="150">
        <f t="shared" si="15"/>
        <v>0.62714786666666678</v>
      </c>
      <c r="P83" s="155">
        <f t="shared" si="24"/>
        <v>4.4373769237540239</v>
      </c>
      <c r="Q83" s="115">
        <f t="shared" si="17"/>
        <v>0.67301436502083334</v>
      </c>
      <c r="R83" s="115">
        <f t="shared" si="18"/>
        <v>14.1333016654375</v>
      </c>
      <c r="S83" s="115">
        <v>0.66225165562913912</v>
      </c>
      <c r="T83" s="115">
        <v>18</v>
      </c>
      <c r="U83" s="150">
        <f t="shared" si="19"/>
        <v>1.6847644369395696</v>
      </c>
      <c r="V83" s="206">
        <f t="shared" si="13"/>
        <v>1.6390728476821197E-2</v>
      </c>
      <c r="AA83">
        <v>1799</v>
      </c>
      <c r="AB83">
        <v>0.13750000000000001</v>
      </c>
      <c r="AC83">
        <v>1.6390728476821197E-2</v>
      </c>
    </row>
    <row r="84" spans="1:29">
      <c r="A84" s="111">
        <v>1800</v>
      </c>
      <c r="B84" s="150">
        <v>4.5419999999999998</v>
      </c>
      <c r="C84" s="150">
        <v>5.2750000000000005E-2</v>
      </c>
      <c r="D84" s="112">
        <v>0.18833333333333332</v>
      </c>
      <c r="E84" s="115">
        <v>0.4</v>
      </c>
      <c r="F84" s="152">
        <f t="shared" si="14"/>
        <v>12.694795486</v>
      </c>
      <c r="G84" s="155">
        <f t="shared" si="20"/>
        <v>73.127031875824656</v>
      </c>
      <c r="H84" s="115">
        <v>5.74</v>
      </c>
      <c r="I84" s="156">
        <f>(0.08+0.09)/2</f>
        <v>8.4999999999999992E-2</v>
      </c>
      <c r="J84" s="115">
        <v>5.0999999999999996</v>
      </c>
      <c r="K84" s="154">
        <f t="shared" si="21"/>
        <v>1.91446329</v>
      </c>
      <c r="L84" s="155">
        <f t="shared" si="22"/>
        <v>11.028064074550789</v>
      </c>
      <c r="M84" s="115">
        <f t="shared" si="23"/>
        <v>14.609258776000001</v>
      </c>
      <c r="N84" s="115">
        <v>6.086950904392765</v>
      </c>
      <c r="O84" s="150">
        <v>1.9240000000000002</v>
      </c>
      <c r="P84" s="155">
        <f t="shared" si="24"/>
        <v>11.082999287719808</v>
      </c>
      <c r="Q84" s="115">
        <f t="shared" si="17"/>
        <v>0.82666293880000008</v>
      </c>
      <c r="R84" s="115">
        <f t="shared" si="18"/>
        <v>17.359921714799999</v>
      </c>
      <c r="S84" s="115">
        <v>0.65359477124183007</v>
      </c>
      <c r="T84" s="115">
        <v>18</v>
      </c>
      <c r="U84" s="150">
        <f t="shared" si="19"/>
        <v>2.0423437311529411</v>
      </c>
      <c r="V84" s="206">
        <f t="shared" si="13"/>
        <v>2.2156862745098042E-2</v>
      </c>
      <c r="AA84">
        <v>1800</v>
      </c>
      <c r="AB84">
        <v>0.18833333333333332</v>
      </c>
      <c r="AC84">
        <v>2.2156862745098042E-2</v>
      </c>
    </row>
    <row r="85" spans="1:29">
      <c r="A85" s="111">
        <v>1801</v>
      </c>
      <c r="B85" s="150">
        <v>5.1766666666666667</v>
      </c>
      <c r="C85" s="150">
        <v>0.04</v>
      </c>
      <c r="D85" s="112">
        <v>0.16999999999999998</v>
      </c>
      <c r="E85" s="115">
        <v>0.39990234375</v>
      </c>
      <c r="F85" s="152">
        <f t="shared" si="14"/>
        <v>13.654862729934896</v>
      </c>
      <c r="G85" s="155">
        <f t="shared" si="20"/>
        <v>75.415711382951898</v>
      </c>
      <c r="H85" s="115">
        <v>5.4600000000000009</v>
      </c>
      <c r="I85" s="156">
        <f>(0.08+0.09)/2</f>
        <v>8.4999999999999992E-2</v>
      </c>
      <c r="J85" s="115">
        <v>4.9980000000000002</v>
      </c>
      <c r="K85" s="154">
        <f t="shared" si="21"/>
        <v>1.8619236600000002</v>
      </c>
      <c r="L85" s="155">
        <f t="shared" si="22"/>
        <v>10.283391355653633</v>
      </c>
      <c r="M85" s="115">
        <f t="shared" si="23"/>
        <v>15.516786389934897</v>
      </c>
      <c r="N85" s="156">
        <f>(6.09+5.94)/2</f>
        <v>6.0150000000000006</v>
      </c>
      <c r="O85" s="150">
        <f>(O84+O86)/2</f>
        <v>1.727141875</v>
      </c>
      <c r="P85" s="155">
        <f t="shared" si="24"/>
        <v>9.538992499489698</v>
      </c>
      <c r="Q85" s="115">
        <f t="shared" si="17"/>
        <v>0.8621964132467449</v>
      </c>
      <c r="R85" s="115">
        <f t="shared" si="18"/>
        <v>18.106124678181644</v>
      </c>
      <c r="S85" s="115">
        <v>0.66225165562913912</v>
      </c>
      <c r="T85" s="115">
        <v>18</v>
      </c>
      <c r="U85" s="150">
        <f t="shared" si="19"/>
        <v>2.1583459881276132</v>
      </c>
      <c r="V85" s="206">
        <f t="shared" si="13"/>
        <v>2.0264900662251652E-2</v>
      </c>
      <c r="AA85">
        <v>1801</v>
      </c>
      <c r="AB85">
        <v>0.16999999999999998</v>
      </c>
      <c r="AC85">
        <v>2.0264900662251652E-2</v>
      </c>
    </row>
    <row r="86" spans="1:29">
      <c r="A86" s="111">
        <v>1802</v>
      </c>
      <c r="B86" s="150">
        <v>4.2</v>
      </c>
      <c r="C86" s="150">
        <v>3.7499999999999999E-2</v>
      </c>
      <c r="D86" s="112">
        <v>0.13125000000000001</v>
      </c>
      <c r="E86" s="115">
        <v>0.40600000000000003</v>
      </c>
      <c r="F86" s="152">
        <f t="shared" si="14"/>
        <v>11.0936112</v>
      </c>
      <c r="G86" s="155">
        <f>F86*100/R86</f>
        <v>72.442694699152725</v>
      </c>
      <c r="H86" s="115">
        <v>6.0500000000000016</v>
      </c>
      <c r="I86" s="115">
        <v>0.09</v>
      </c>
      <c r="J86" s="115">
        <v>4.6166666666666663</v>
      </c>
      <c r="K86" s="154">
        <f t="shared" si="21"/>
        <v>1.9605211100000002</v>
      </c>
      <c r="L86" s="155">
        <f>K86*100/R86</f>
        <v>12.80245266058847</v>
      </c>
      <c r="M86" s="115">
        <f>F86+K86</f>
        <v>13.05413231</v>
      </c>
      <c r="N86" s="115">
        <v>5.9375</v>
      </c>
      <c r="O86" s="150">
        <f>N86*0.257732</f>
        <v>1.5302837500000002</v>
      </c>
      <c r="P86" s="155">
        <f>O86*100/R86</f>
        <v>9.9929478783540358</v>
      </c>
      <c r="Q86" s="115">
        <f>(F86+K86+O86)*0.05</f>
        <v>0.72922080300000003</v>
      </c>
      <c r="R86" s="115">
        <f>F86+K86+O86+Q86</f>
        <v>15.313636863000001</v>
      </c>
      <c r="S86" s="115">
        <v>0.7246376811594204</v>
      </c>
      <c r="T86" s="115">
        <v>18</v>
      </c>
      <c r="U86" s="150">
        <f t="shared" si="19"/>
        <v>1.9974308951739135</v>
      </c>
      <c r="V86" s="206">
        <f t="shared" si="13"/>
        <v>1.711956521739131E-2</v>
      </c>
      <c r="AA86">
        <v>1802</v>
      </c>
      <c r="AB86">
        <v>0.13125000000000001</v>
      </c>
      <c r="AC86">
        <v>1.711956521739131E-2</v>
      </c>
    </row>
    <row r="87" spans="1:29">
      <c r="A87" s="111">
        <v>1803</v>
      </c>
      <c r="B87" s="115">
        <v>5.95</v>
      </c>
      <c r="C87" s="150">
        <v>0.04</v>
      </c>
      <c r="D87" s="112">
        <v>0.16</v>
      </c>
      <c r="E87" s="115">
        <v>0.4</v>
      </c>
      <c r="F87" s="152">
        <f t="shared" si="14"/>
        <v>15.164719850000001</v>
      </c>
      <c r="G87" s="155"/>
      <c r="H87" s="115">
        <v>6.64</v>
      </c>
      <c r="I87" s="115"/>
      <c r="J87" s="115"/>
      <c r="K87" s="154"/>
      <c r="L87" s="155"/>
      <c r="M87" s="115"/>
      <c r="N87" s="115">
        <v>1.2</v>
      </c>
      <c r="O87" s="150">
        <f>N87*0.257732</f>
        <v>0.30927840000000001</v>
      </c>
      <c r="P87" s="155"/>
      <c r="Q87" s="115"/>
      <c r="R87" s="111"/>
      <c r="S87" s="111">
        <v>0.8</v>
      </c>
      <c r="T87" s="115">
        <v>18</v>
      </c>
      <c r="U87" s="150"/>
      <c r="V87" s="206">
        <f t="shared" si="13"/>
        <v>2.3040000000000001E-2</v>
      </c>
      <c r="AA87">
        <v>1803</v>
      </c>
      <c r="AB87">
        <v>0.16</v>
      </c>
      <c r="AC87">
        <v>2.3040000000000001E-2</v>
      </c>
    </row>
    <row r="88" spans="1:29">
      <c r="A88" s="111">
        <v>1804</v>
      </c>
      <c r="B88" s="150">
        <v>4</v>
      </c>
      <c r="C88" s="150"/>
      <c r="D88" s="112"/>
      <c r="E88" s="115"/>
      <c r="F88" s="152"/>
      <c r="G88" s="155"/>
      <c r="H88" s="115"/>
      <c r="I88" s="115"/>
      <c r="J88" s="115"/>
      <c r="K88" s="154"/>
      <c r="L88" s="155"/>
      <c r="M88" s="115"/>
      <c r="N88" s="115"/>
      <c r="O88" s="150"/>
      <c r="P88" s="155"/>
      <c r="Q88" s="115"/>
      <c r="R88" s="111"/>
      <c r="S88" s="111">
        <v>0.79365079365079361</v>
      </c>
      <c r="T88" s="115">
        <v>18</v>
      </c>
      <c r="U88" s="150"/>
      <c r="AA88">
        <v>1804</v>
      </c>
    </row>
    <row r="89" spans="1:29">
      <c r="A89" s="111">
        <v>1805</v>
      </c>
      <c r="B89" s="150">
        <v>3.4949999999999997</v>
      </c>
      <c r="C89" s="150">
        <v>4.2000000000000003E-2</v>
      </c>
      <c r="D89" s="112">
        <v>0.13249999999999998</v>
      </c>
      <c r="E89" s="115">
        <v>0.4</v>
      </c>
      <c r="F89" s="152">
        <f t="shared" ref="F89:F94" si="25">2.110043*B89+12.19512*C89+12.19512*D89+E89*0.42735</f>
        <v>9.6735887249999983</v>
      </c>
      <c r="G89" s="155">
        <f>F89*100/R89</f>
        <v>64.202441364508516</v>
      </c>
      <c r="H89" s="115">
        <v>6.2</v>
      </c>
      <c r="I89" s="115">
        <v>0.1</v>
      </c>
      <c r="J89" s="115">
        <v>6.4</v>
      </c>
      <c r="K89" s="154">
        <f>H89*0.15873+I89*7.042254+J89*0.079365</f>
        <v>2.1962874000000001</v>
      </c>
      <c r="L89" s="155">
        <f>K89*100/R89</f>
        <v>14.576494517871794</v>
      </c>
      <c r="M89" s="115">
        <f>F89+K89</f>
        <v>11.869876124999998</v>
      </c>
      <c r="N89" s="115">
        <v>9.6222222222222236</v>
      </c>
      <c r="O89" s="150">
        <f t="shared" ref="O89:O99" si="26">N89*0.257732</f>
        <v>2.4799545777777783</v>
      </c>
      <c r="P89" s="155">
        <f>O89*100/R89</f>
        <v>16.459159355714938</v>
      </c>
      <c r="Q89" s="115">
        <f>(F89+K89+O89)*0.05</f>
        <v>0.71749153513888886</v>
      </c>
      <c r="R89" s="115">
        <f>F89+K89+O89+Q89</f>
        <v>15.067322237916665</v>
      </c>
      <c r="S89" s="115">
        <v>0.76923076923076916</v>
      </c>
      <c r="T89" s="115">
        <v>18</v>
      </c>
      <c r="U89" s="150">
        <f t="shared" ref="U89:U91" si="27">R89*S89*T89/100</f>
        <v>2.0862446175576919</v>
      </c>
      <c r="V89" s="206">
        <f t="shared" ref="V89:V94" si="28">D89*S89*T89/100</f>
        <v>1.8346153846153842E-2</v>
      </c>
      <c r="AA89">
        <v>1805</v>
      </c>
      <c r="AB89">
        <v>0.13249999999999998</v>
      </c>
      <c r="AC89">
        <v>1.8346153846153842E-2</v>
      </c>
    </row>
    <row r="90" spans="1:29">
      <c r="A90" s="110">
        <v>1806</v>
      </c>
      <c r="B90" s="158">
        <f>(B89+B92)/2</f>
        <v>4.7474999999999996</v>
      </c>
      <c r="C90" s="109">
        <v>2.3E-2</v>
      </c>
      <c r="D90" s="112">
        <v>0.22500000000000001</v>
      </c>
      <c r="E90" s="115">
        <v>0.4</v>
      </c>
      <c r="F90" s="152">
        <f t="shared" si="25"/>
        <v>13.212758902499999</v>
      </c>
      <c r="G90" s="114"/>
      <c r="H90" s="158">
        <f>(H89+H91)/2</f>
        <v>6.1</v>
      </c>
      <c r="I90" s="110">
        <v>0.14000000000000001</v>
      </c>
      <c r="J90" s="158">
        <f>(J89+J91)/2</f>
        <v>5.0500000000000007</v>
      </c>
      <c r="K90" s="154">
        <f>H90*0.15873+I90*7.042254+J90*0.079365</f>
        <v>2.3549618100000003</v>
      </c>
      <c r="L90" s="114"/>
      <c r="M90" s="110"/>
      <c r="N90" s="115">
        <v>3.6749999999999998</v>
      </c>
      <c r="O90" s="150">
        <f t="shared" si="26"/>
        <v>0.94716509999999998</v>
      </c>
      <c r="P90" s="116"/>
      <c r="Q90" s="115">
        <f>(F90+K90+O90)*0.05</f>
        <v>0.8257442906250001</v>
      </c>
      <c r="R90" s="115">
        <f>F90+K90+O90+Q90</f>
        <v>17.340630103125001</v>
      </c>
      <c r="S90" s="115">
        <v>0.74626865671641784</v>
      </c>
      <c r="T90" s="115">
        <v>18</v>
      </c>
      <c r="U90" s="150">
        <f t="shared" si="27"/>
        <v>2.3293383720615672</v>
      </c>
      <c r="V90" s="206">
        <f t="shared" si="28"/>
        <v>3.0223880597014922E-2</v>
      </c>
      <c r="AA90">
        <v>1806</v>
      </c>
      <c r="AB90">
        <v>0.22500000000000001</v>
      </c>
      <c r="AC90">
        <v>3.0223880597014922E-2</v>
      </c>
    </row>
    <row r="91" spans="1:29">
      <c r="A91" s="110">
        <v>1807</v>
      </c>
      <c r="B91" s="158">
        <f>(B90+B92)/2</f>
        <v>5.3737499999999994</v>
      </c>
      <c r="C91" s="158">
        <f>(C90+C92)/2</f>
        <v>3.9E-2</v>
      </c>
      <c r="D91" s="158">
        <f>(D90+D92)/2</f>
        <v>0.15625</v>
      </c>
      <c r="E91" s="158">
        <f>(E90+E92)/2</f>
        <v>0.4</v>
      </c>
      <c r="F91" s="152">
        <f t="shared" si="25"/>
        <v>13.890880751249998</v>
      </c>
      <c r="G91" s="114"/>
      <c r="H91" s="110">
        <f>0.15*40</f>
        <v>6</v>
      </c>
      <c r="I91" s="110">
        <v>0.14000000000000001</v>
      </c>
      <c r="J91" s="159">
        <f>(J89+J93)/2</f>
        <v>3.7</v>
      </c>
      <c r="K91" s="154">
        <f>H91*0.15873+I91*7.042254+J91*0.079365</f>
        <v>2.2319460600000003</v>
      </c>
      <c r="L91" s="114"/>
      <c r="M91" s="110"/>
      <c r="N91" s="115"/>
      <c r="O91" s="158">
        <f>(O90+O92)/2</f>
        <v>1.1920105000000001</v>
      </c>
      <c r="P91" s="155"/>
      <c r="Q91" s="115">
        <f>(F91+K91+O91)*0.05</f>
        <v>0.86574186556249999</v>
      </c>
      <c r="R91" s="115">
        <f>F91+K91+O91+Q91</f>
        <v>18.1805791768125</v>
      </c>
      <c r="S91" s="115">
        <v>0.67114093959731547</v>
      </c>
      <c r="T91" s="115">
        <v>18</v>
      </c>
      <c r="U91" s="150">
        <f t="shared" si="27"/>
        <v>2.1963115784068794</v>
      </c>
      <c r="V91" s="206">
        <f t="shared" si="28"/>
        <v>1.8875838926174497E-2</v>
      </c>
      <c r="AA91">
        <v>1807</v>
      </c>
      <c r="AB91">
        <v>0.15625</v>
      </c>
      <c r="AC91">
        <v>1.8875838926174497E-2</v>
      </c>
    </row>
    <row r="92" spans="1:29">
      <c r="A92" s="110">
        <v>1808</v>
      </c>
      <c r="B92" s="111">
        <v>6</v>
      </c>
      <c r="C92" s="109">
        <v>5.5E-2</v>
      </c>
      <c r="D92" s="112">
        <v>8.7499999999999994E-2</v>
      </c>
      <c r="E92" s="115">
        <v>0.4</v>
      </c>
      <c r="F92" s="152">
        <f t="shared" si="25"/>
        <v>14.569002600000001</v>
      </c>
      <c r="G92" s="114"/>
      <c r="H92" s="110">
        <v>6.4</v>
      </c>
      <c r="I92" s="110"/>
      <c r="J92" s="110"/>
      <c r="K92" s="118"/>
      <c r="L92" s="114"/>
      <c r="M92" s="110"/>
      <c r="N92" s="115">
        <v>5.5750000000000002</v>
      </c>
      <c r="O92" s="150">
        <f t="shared" si="26"/>
        <v>1.4368559000000001</v>
      </c>
      <c r="P92" s="116"/>
      <c r="Q92" s="117"/>
      <c r="R92" s="110"/>
      <c r="S92" s="110"/>
      <c r="T92" s="115"/>
      <c r="U92" s="150"/>
      <c r="V92" s="206">
        <f t="shared" si="28"/>
        <v>0</v>
      </c>
      <c r="AA92">
        <v>1808</v>
      </c>
      <c r="AB92">
        <v>8.7499999999999994E-2</v>
      </c>
      <c r="AC92">
        <f>AC91/2</f>
        <v>9.4379194630872486E-3</v>
      </c>
    </row>
    <row r="93" spans="1:29">
      <c r="A93" s="110">
        <v>1809</v>
      </c>
      <c r="B93" s="111">
        <v>6.5</v>
      </c>
      <c r="C93" s="109">
        <v>0.06</v>
      </c>
      <c r="D93" s="112">
        <v>0.25</v>
      </c>
      <c r="E93" s="115">
        <v>0.4</v>
      </c>
      <c r="F93" s="113">
        <f t="shared" si="25"/>
        <v>17.666706700000002</v>
      </c>
      <c r="G93" s="155">
        <f>F93*100/R93</f>
        <v>71.350025042982182</v>
      </c>
      <c r="H93" s="110">
        <v>7.6</v>
      </c>
      <c r="I93" s="110">
        <v>0.25</v>
      </c>
      <c r="J93" s="110">
        <v>1</v>
      </c>
      <c r="K93" s="154">
        <f>H93*0.15873+I93*7.042254+J93*0.079365</f>
        <v>3.0462765000000003</v>
      </c>
      <c r="L93" s="155">
        <f>K93*100/R93</f>
        <v>12.302910115264895</v>
      </c>
      <c r="M93" s="110"/>
      <c r="N93" s="115">
        <v>11.13</v>
      </c>
      <c r="O93" s="150">
        <f t="shared" si="26"/>
        <v>2.8685571600000004</v>
      </c>
      <c r="P93" s="155">
        <f>O93*100/R93</f>
        <v>11.58516007984815</v>
      </c>
      <c r="Q93" s="115">
        <f>(F93+K93+O93)*0.05</f>
        <v>1.1790770180000003</v>
      </c>
      <c r="R93" s="115">
        <f>F93+K93+O93+Q93</f>
        <v>24.760617378000006</v>
      </c>
      <c r="S93" s="115">
        <v>0.44843049327354262</v>
      </c>
      <c r="T93" s="115">
        <v>18</v>
      </c>
      <c r="U93" s="150">
        <f t="shared" ref="U93:U94" si="29">R93*S93*T93/100</f>
        <v>1.998614855623319</v>
      </c>
      <c r="V93" s="206">
        <f t="shared" si="28"/>
        <v>2.0179372197309416E-2</v>
      </c>
      <c r="AA93">
        <v>1809</v>
      </c>
      <c r="AB93">
        <v>0.25</v>
      </c>
      <c r="AC93">
        <v>2.0179372197309416E-2</v>
      </c>
    </row>
    <row r="94" spans="1:29">
      <c r="A94" s="110">
        <v>1810</v>
      </c>
      <c r="B94" s="160">
        <f>6.5/100*20+6.5</f>
        <v>7.8</v>
      </c>
      <c r="C94" s="109">
        <v>7.0000000000000007E-2</v>
      </c>
      <c r="D94" s="112">
        <f>(0.29+0.42)/2</f>
        <v>0.35499999999999998</v>
      </c>
      <c r="E94" s="115">
        <v>0.4</v>
      </c>
      <c r="F94" s="113">
        <f t="shared" si="25"/>
        <v>21.812201399999999</v>
      </c>
      <c r="G94" s="155">
        <f>F94*100/R94</f>
        <v>72.713224960855683</v>
      </c>
      <c r="H94" s="110">
        <v>12</v>
      </c>
      <c r="I94" s="110">
        <v>0.185</v>
      </c>
      <c r="J94" s="110">
        <v>9</v>
      </c>
      <c r="K94" s="154">
        <f>H94*0.15873+I94*7.042254+J94*0.079365</f>
        <v>3.92186199</v>
      </c>
      <c r="L94" s="155">
        <f>K94*100/R94</f>
        <v>13.073931783166971</v>
      </c>
      <c r="M94" s="110"/>
      <c r="N94" s="115">
        <v>11</v>
      </c>
      <c r="O94" s="150">
        <f t="shared" si="26"/>
        <v>2.8350520000000001</v>
      </c>
      <c r="P94" s="155">
        <f>O94*100/R94</f>
        <v>9.4509384940725809</v>
      </c>
      <c r="Q94" s="115">
        <f>(F94+K94+O94)*0.05</f>
        <v>1.4284557695000002</v>
      </c>
      <c r="R94" s="115">
        <f>F94+K94+O94+Q94</f>
        <v>29.997571159500001</v>
      </c>
      <c r="S94" s="115">
        <v>0.33</v>
      </c>
      <c r="T94" s="115">
        <v>18</v>
      </c>
      <c r="U94" s="150">
        <f t="shared" si="29"/>
        <v>1.7818557268743</v>
      </c>
      <c r="V94" s="206">
        <f t="shared" si="28"/>
        <v>2.1087000000000002E-2</v>
      </c>
      <c r="AA94">
        <v>1810</v>
      </c>
      <c r="AB94">
        <v>0.35499999999999998</v>
      </c>
      <c r="AC94">
        <v>2.1087000000000002E-2</v>
      </c>
    </row>
    <row r="95" spans="1:29">
      <c r="A95" s="110">
        <v>1811</v>
      </c>
      <c r="B95" s="111">
        <f>7.8/100*15+7.5</f>
        <v>8.67</v>
      </c>
      <c r="C95" s="109"/>
      <c r="D95" s="112"/>
      <c r="E95" s="115">
        <v>0.4</v>
      </c>
      <c r="F95" s="113"/>
      <c r="G95" s="114"/>
      <c r="H95" s="110"/>
      <c r="I95" s="110"/>
      <c r="J95" s="110">
        <v>4.8</v>
      </c>
      <c r="K95" s="118"/>
      <c r="L95" s="114"/>
      <c r="M95" s="110"/>
      <c r="N95" s="115">
        <v>12</v>
      </c>
      <c r="O95" s="150">
        <f t="shared" si="26"/>
        <v>3.092784</v>
      </c>
      <c r="P95" s="155"/>
      <c r="Q95" s="117"/>
      <c r="R95" s="110"/>
      <c r="S95" s="110"/>
      <c r="T95" s="115"/>
      <c r="U95" s="150"/>
      <c r="AA95">
        <v>1811</v>
      </c>
    </row>
    <row r="96" spans="1:29">
      <c r="A96" s="110">
        <v>1812</v>
      </c>
      <c r="B96" s="111">
        <v>11.67</v>
      </c>
      <c r="C96" s="109">
        <v>9.7777777777777797E-2</v>
      </c>
      <c r="D96" s="112">
        <v>0.4366666666666667</v>
      </c>
      <c r="E96" s="110">
        <v>0.4</v>
      </c>
      <c r="F96" s="152">
        <f>2.110043*B96+12.19512*C96+12.19512*D96+E96*0.42735</f>
        <v>31.312755943333336</v>
      </c>
      <c r="G96" s="114"/>
      <c r="H96" s="110">
        <f>(9+9.93)/2</f>
        <v>9.4649999999999999</v>
      </c>
      <c r="I96" s="110">
        <v>0.26</v>
      </c>
      <c r="J96" s="110"/>
      <c r="K96" s="118"/>
      <c r="L96" s="114"/>
      <c r="M96" s="110"/>
      <c r="N96" s="115">
        <v>11.32</v>
      </c>
      <c r="O96" s="150">
        <f t="shared" si="26"/>
        <v>2.9175262400000004</v>
      </c>
      <c r="P96" s="155"/>
      <c r="Q96" s="117"/>
      <c r="R96" s="110"/>
      <c r="S96" s="115">
        <v>0.33</v>
      </c>
      <c r="T96" s="115">
        <v>18</v>
      </c>
      <c r="U96" s="150"/>
      <c r="V96" s="206">
        <f t="shared" ref="V96:V97" si="30">D96*S96*T96/100</f>
        <v>2.5937999999999999E-2</v>
      </c>
      <c r="AA96">
        <v>1812</v>
      </c>
      <c r="AB96">
        <v>0.4366666666666667</v>
      </c>
      <c r="AC96">
        <v>2.5937999999999999E-2</v>
      </c>
    </row>
    <row r="97" spans="1:29">
      <c r="A97" s="110">
        <v>1813</v>
      </c>
      <c r="B97" s="111">
        <f>1.55*8</f>
        <v>12.4</v>
      </c>
      <c r="C97" s="109"/>
      <c r="D97" s="112">
        <v>0.43099999999999999</v>
      </c>
      <c r="E97" s="110"/>
      <c r="F97" s="152"/>
      <c r="G97" s="114"/>
      <c r="H97" s="110">
        <v>11.56</v>
      </c>
      <c r="I97" s="110">
        <v>0.32</v>
      </c>
      <c r="J97" s="110"/>
      <c r="K97" s="118"/>
      <c r="L97" s="114"/>
      <c r="M97" s="110"/>
      <c r="N97" s="115">
        <v>16</v>
      </c>
      <c r="O97" s="150">
        <f t="shared" si="26"/>
        <v>4.1237120000000003</v>
      </c>
      <c r="P97" s="155"/>
      <c r="Q97" s="117"/>
      <c r="R97" s="110"/>
      <c r="S97" s="115">
        <v>0.33</v>
      </c>
      <c r="T97" s="115">
        <v>18</v>
      </c>
      <c r="U97" s="150"/>
      <c r="V97" s="206">
        <f t="shared" si="30"/>
        <v>2.56014E-2</v>
      </c>
      <c r="AA97">
        <v>1813</v>
      </c>
      <c r="AB97">
        <v>0.43099999999999999</v>
      </c>
      <c r="AC97">
        <v>2.56014E-2</v>
      </c>
    </row>
    <row r="98" spans="1:29">
      <c r="A98" s="110">
        <v>1814</v>
      </c>
      <c r="B98" s="111"/>
      <c r="C98" s="109"/>
      <c r="D98" s="112"/>
      <c r="E98" s="110"/>
      <c r="F98" s="152"/>
      <c r="G98" s="114"/>
      <c r="H98" s="110">
        <v>19.39</v>
      </c>
      <c r="I98" s="110">
        <v>0.25600000000000001</v>
      </c>
      <c r="J98" s="110"/>
      <c r="K98" s="118"/>
      <c r="L98" s="114"/>
      <c r="M98" s="110"/>
      <c r="N98" s="115">
        <v>17.77</v>
      </c>
      <c r="O98" s="150">
        <f t="shared" si="26"/>
        <v>4.5798976400000004</v>
      </c>
      <c r="P98" s="155"/>
      <c r="Q98" s="117"/>
      <c r="R98" s="110"/>
      <c r="S98" s="110"/>
      <c r="T98" s="115"/>
      <c r="U98" s="150"/>
      <c r="AA98">
        <v>1814</v>
      </c>
    </row>
    <row r="99" spans="1:29">
      <c r="A99" s="110">
        <v>1815</v>
      </c>
      <c r="B99" s="111">
        <f>1.15*8</f>
        <v>9.1999999999999993</v>
      </c>
      <c r="C99" s="109">
        <f>(0.1+0.09+0.07)/3</f>
        <v>8.666666666666667E-2</v>
      </c>
      <c r="D99" s="112">
        <v>0.45</v>
      </c>
      <c r="E99" s="110">
        <v>1.72</v>
      </c>
      <c r="F99" s="152">
        <f>2.110043*B99+12.19512*C99+12.19512*D99+E99*0.42735</f>
        <v>26.692152</v>
      </c>
      <c r="G99" s="114"/>
      <c r="H99" s="110">
        <v>18.05</v>
      </c>
      <c r="I99" s="110">
        <v>0.32</v>
      </c>
      <c r="J99" s="110">
        <v>19.8</v>
      </c>
      <c r="K99" s="154">
        <f>H99*0.15873+I99*7.042254+J99*0.079365</f>
        <v>6.6900247799999999</v>
      </c>
      <c r="L99" s="114"/>
      <c r="M99" s="110"/>
      <c r="N99" s="115">
        <f>(19.83+13)/2</f>
        <v>16.414999999999999</v>
      </c>
      <c r="O99" s="150">
        <f t="shared" si="26"/>
        <v>4.2306707799999996</v>
      </c>
      <c r="P99" s="116"/>
      <c r="Q99" s="115">
        <f>(F99+K99+O99)*0.05</f>
        <v>1.8806423780000001</v>
      </c>
      <c r="R99" s="115">
        <f>F99+K99+O99+Q99</f>
        <v>39.493489937999996</v>
      </c>
      <c r="S99" s="115">
        <v>0.2</v>
      </c>
      <c r="T99" s="115">
        <v>18</v>
      </c>
      <c r="U99" s="150">
        <f>R99*S99*T99/100</f>
        <v>1.4217656377679999</v>
      </c>
      <c r="V99" s="206">
        <f t="shared" ref="V99" si="31">D99*S99*T99/100</f>
        <v>1.6200000000000003E-2</v>
      </c>
      <c r="AA99">
        <v>1815</v>
      </c>
      <c r="AB99">
        <v>0.45</v>
      </c>
      <c r="AC99">
        <v>1.6200000000000003E-2</v>
      </c>
    </row>
    <row r="100" spans="1:29">
      <c r="A100" s="110">
        <v>1816</v>
      </c>
      <c r="B100" s="111"/>
      <c r="C100" s="109"/>
      <c r="D100" s="112"/>
      <c r="E100" s="110"/>
      <c r="F100" s="113"/>
      <c r="G100" s="114"/>
      <c r="H100" s="110"/>
      <c r="I100" s="110"/>
      <c r="J100" s="110"/>
      <c r="K100" s="118"/>
      <c r="L100" s="114"/>
      <c r="M100" s="110"/>
      <c r="N100" s="115"/>
      <c r="O100" s="109"/>
      <c r="P100" s="116"/>
      <c r="Q100" s="117"/>
      <c r="R100" s="110"/>
      <c r="S100" s="110"/>
      <c r="T100" s="110"/>
      <c r="U100" s="150"/>
      <c r="AA100">
        <v>1816</v>
      </c>
    </row>
    <row r="101" spans="1:29">
      <c r="A101" s="110">
        <v>1817</v>
      </c>
      <c r="B101" s="111"/>
      <c r="C101" s="109"/>
      <c r="D101" s="112"/>
      <c r="E101" s="110"/>
      <c r="F101" s="113"/>
      <c r="G101" s="114"/>
      <c r="H101" s="110"/>
      <c r="I101" s="110"/>
      <c r="J101" s="110"/>
      <c r="K101" s="118"/>
      <c r="L101" s="114"/>
      <c r="M101" s="110"/>
      <c r="N101" s="115"/>
      <c r="O101" s="109"/>
      <c r="P101" s="116"/>
      <c r="Q101" s="117"/>
      <c r="R101" s="110"/>
      <c r="S101" s="110"/>
      <c r="T101" s="110"/>
      <c r="U101" s="150"/>
      <c r="AA101">
        <v>1817</v>
      </c>
    </row>
    <row r="102" spans="1:29">
      <c r="A102" s="110">
        <v>1818</v>
      </c>
      <c r="B102" s="111"/>
      <c r="C102" s="109"/>
      <c r="D102" s="112"/>
      <c r="E102" s="110"/>
      <c r="F102" s="113"/>
      <c r="G102" s="114"/>
      <c r="H102" s="110"/>
      <c r="I102" s="110"/>
      <c r="J102" s="110"/>
      <c r="K102" s="118"/>
      <c r="L102" s="114"/>
      <c r="M102" s="110"/>
      <c r="N102" s="115"/>
      <c r="O102" s="109"/>
      <c r="P102" s="116"/>
      <c r="Q102" s="117"/>
      <c r="R102" s="110"/>
      <c r="S102" s="110"/>
      <c r="T102" s="110"/>
      <c r="U102" s="150"/>
      <c r="AA102">
        <v>1818</v>
      </c>
    </row>
    <row r="103" spans="1:29">
      <c r="A103" s="110">
        <v>1819</v>
      </c>
      <c r="B103" s="111"/>
      <c r="C103" s="109"/>
      <c r="D103" s="112"/>
      <c r="E103" s="110"/>
      <c r="F103" s="113"/>
      <c r="G103" s="114"/>
      <c r="H103" s="110"/>
      <c r="I103" s="110"/>
      <c r="J103" s="110"/>
      <c r="K103" s="118"/>
      <c r="L103" s="114"/>
      <c r="M103" s="110"/>
      <c r="N103" s="115"/>
      <c r="O103" s="109"/>
      <c r="P103" s="116"/>
      <c r="Q103" s="117"/>
      <c r="R103" s="110"/>
      <c r="S103" s="110"/>
      <c r="T103" s="110"/>
      <c r="U103" s="150"/>
      <c r="AA103">
        <v>1819</v>
      </c>
    </row>
    <row r="104" spans="1:29">
      <c r="A104" s="110">
        <v>1824</v>
      </c>
      <c r="B104" s="111">
        <v>10.290000000000001</v>
      </c>
      <c r="C104" s="109">
        <v>0.1032</v>
      </c>
      <c r="D104" s="112"/>
      <c r="E104" s="110"/>
      <c r="F104" s="113"/>
      <c r="G104" s="114"/>
      <c r="H104" s="110">
        <v>12.16</v>
      </c>
      <c r="I104" s="111"/>
      <c r="J104" s="110">
        <v>10.24</v>
      </c>
      <c r="K104" s="110"/>
      <c r="L104" s="114"/>
      <c r="M104" s="110"/>
      <c r="N104" s="115">
        <v>20</v>
      </c>
      <c r="O104" s="150">
        <f t="shared" ref="O104" si="32">N104*0.257732</f>
        <v>5.1546400000000006</v>
      </c>
      <c r="P104" s="155"/>
      <c r="Q104" s="117"/>
      <c r="R104" s="110"/>
      <c r="S104" s="110"/>
      <c r="T104" s="110"/>
      <c r="U104" s="150"/>
      <c r="AA104">
        <v>1824</v>
      </c>
    </row>
    <row r="105" spans="1:29">
      <c r="A105" s="110">
        <v>1825</v>
      </c>
      <c r="B105" s="111">
        <v>10.290000000000001</v>
      </c>
      <c r="C105" s="109">
        <v>0.1462</v>
      </c>
      <c r="D105" s="112">
        <v>0.35897435897435898</v>
      </c>
      <c r="E105" s="161"/>
      <c r="F105" s="113"/>
      <c r="G105" s="114"/>
      <c r="H105" s="110">
        <v>10.24</v>
      </c>
      <c r="I105" s="111"/>
      <c r="J105" s="110">
        <v>10.24</v>
      </c>
      <c r="K105" s="110"/>
      <c r="L105" s="114"/>
      <c r="M105" s="110"/>
      <c r="N105" s="115"/>
      <c r="O105" s="109"/>
      <c r="P105" s="116"/>
      <c r="Q105" s="117"/>
      <c r="R105" s="110"/>
      <c r="S105" s="115">
        <v>0.27</v>
      </c>
      <c r="T105" s="115">
        <v>18</v>
      </c>
      <c r="U105" s="150"/>
      <c r="V105" s="206">
        <f t="shared" ref="V105:V155" si="33">D105*S105*T105/100</f>
        <v>1.7446153846153847E-2</v>
      </c>
      <c r="AA105">
        <v>1825</v>
      </c>
      <c r="AB105">
        <v>0.35897435897435898</v>
      </c>
      <c r="AC105">
        <v>1.7446153846153847E-2</v>
      </c>
    </row>
    <row r="106" spans="1:29">
      <c r="A106" s="110">
        <v>1826</v>
      </c>
      <c r="B106" s="111">
        <v>10.290000000000001</v>
      </c>
      <c r="C106" s="109">
        <v>0.1419</v>
      </c>
      <c r="D106" s="112">
        <v>0.34871794871794876</v>
      </c>
      <c r="E106" s="161"/>
      <c r="F106" s="113"/>
      <c r="G106" s="114"/>
      <c r="H106" s="110">
        <v>10.56</v>
      </c>
      <c r="I106" s="111"/>
      <c r="J106" s="110">
        <v>9.76</v>
      </c>
      <c r="K106" s="110"/>
      <c r="L106" s="114"/>
      <c r="M106" s="110"/>
      <c r="N106" s="115"/>
      <c r="O106" s="109"/>
      <c r="P106" s="116"/>
      <c r="Q106" s="117"/>
      <c r="R106" s="110"/>
      <c r="S106" s="115">
        <v>0.27</v>
      </c>
      <c r="T106" s="115">
        <v>18</v>
      </c>
      <c r="U106" s="150"/>
      <c r="V106" s="206">
        <f t="shared" si="33"/>
        <v>1.6947692307692309E-2</v>
      </c>
      <c r="AA106">
        <v>1826</v>
      </c>
      <c r="AB106">
        <v>0.34871794871794876</v>
      </c>
      <c r="AC106">
        <v>1.6947692307692309E-2</v>
      </c>
    </row>
    <row r="107" spans="1:29">
      <c r="A107" s="110">
        <v>1827</v>
      </c>
      <c r="B107" s="111">
        <v>10.290000000000001</v>
      </c>
      <c r="C107" s="109">
        <v>0.1376</v>
      </c>
      <c r="D107" s="112">
        <v>0.33846153846153848</v>
      </c>
      <c r="E107" s="161"/>
      <c r="F107" s="113"/>
      <c r="G107" s="114"/>
      <c r="H107" s="110">
        <v>10.72</v>
      </c>
      <c r="I107" s="111">
        <v>6.2763319444444443</v>
      </c>
      <c r="J107" s="110">
        <v>9.2799999999999994</v>
      </c>
      <c r="K107" s="154">
        <f>H107*0.15873+I107*7.042254+J107*0.079365</f>
        <v>46.637616541091667</v>
      </c>
      <c r="L107" s="114"/>
      <c r="M107" s="110"/>
      <c r="N107" s="115">
        <v>22</v>
      </c>
      <c r="O107" s="150">
        <f t="shared" ref="O107:O109" si="34">N107*0.257732</f>
        <v>5.6701040000000003</v>
      </c>
      <c r="P107" s="155"/>
      <c r="Q107" s="117"/>
      <c r="R107" s="110"/>
      <c r="S107" s="115">
        <v>0.27</v>
      </c>
      <c r="T107" s="115">
        <v>18</v>
      </c>
      <c r="U107" s="150"/>
      <c r="V107" s="206">
        <f t="shared" si="33"/>
        <v>1.6449230769230772E-2</v>
      </c>
      <c r="AA107">
        <v>1827</v>
      </c>
      <c r="AB107">
        <v>0.33846153846153848</v>
      </c>
      <c r="AC107">
        <v>1.6449230769230772E-2</v>
      </c>
    </row>
    <row r="108" spans="1:29">
      <c r="A108" s="110">
        <v>1828</v>
      </c>
      <c r="B108" s="111">
        <v>7.3500000000000005</v>
      </c>
      <c r="C108" s="109">
        <v>8.6000000000000007E-2</v>
      </c>
      <c r="D108" s="112">
        <v>0.29230769230769232</v>
      </c>
      <c r="E108" s="162">
        <v>2.2999999999999998</v>
      </c>
      <c r="F108" s="113">
        <f t="shared" ref="F108:F111" si="35">2.110043*B108+12.19512*C108+12.19512*D108+E108*0.42735</f>
        <v>21.105228754615386</v>
      </c>
      <c r="G108" s="114"/>
      <c r="H108" s="110">
        <v>11.2</v>
      </c>
      <c r="I108" s="158">
        <f>(I107+I109)/2</f>
        <v>6.9039652777777771</v>
      </c>
      <c r="J108" s="110">
        <v>9.2799999999999994</v>
      </c>
      <c r="K108" s="154">
        <f>H108*0.15873+I108*7.042254+J108*0.079365</f>
        <v>51.133760293291665</v>
      </c>
      <c r="L108" s="114"/>
      <c r="M108" s="110"/>
      <c r="N108" s="115">
        <v>18.5</v>
      </c>
      <c r="O108" s="150">
        <f t="shared" si="34"/>
        <v>4.7680420000000003</v>
      </c>
      <c r="P108" s="155"/>
      <c r="Q108" s="115">
        <f>(F108+K108+O108)*0.05</f>
        <v>3.8503515523953524</v>
      </c>
      <c r="R108" s="115">
        <f>F108+K108+O108+Q108</f>
        <v>80.857382600302401</v>
      </c>
      <c r="S108" s="115">
        <v>0.27</v>
      </c>
      <c r="T108" s="115">
        <v>18</v>
      </c>
      <c r="U108" s="150">
        <f>R108*S108*T108/100</f>
        <v>3.9296687943746971</v>
      </c>
      <c r="V108" s="206">
        <f t="shared" si="33"/>
        <v>1.4206153846153846E-2</v>
      </c>
      <c r="AA108">
        <v>1828</v>
      </c>
      <c r="AB108">
        <v>0.29230769230769232</v>
      </c>
      <c r="AC108">
        <v>1.4206153846153846E-2</v>
      </c>
    </row>
    <row r="109" spans="1:29">
      <c r="A109" s="110">
        <v>1829</v>
      </c>
      <c r="B109" s="111">
        <v>8.82</v>
      </c>
      <c r="C109" s="109">
        <f>0.24*0.45</f>
        <v>0.108</v>
      </c>
      <c r="D109" s="112">
        <v>0.31128205128205128</v>
      </c>
      <c r="E109" s="161">
        <v>2.2999999999999998</v>
      </c>
      <c r="F109" s="113">
        <f t="shared" si="35"/>
        <v>24.706679189230769</v>
      </c>
      <c r="G109" s="114"/>
      <c r="H109" s="110">
        <v>10.72</v>
      </c>
      <c r="I109" s="111">
        <v>7.5315986111111108</v>
      </c>
      <c r="J109" s="110">
        <v>9.2799999999999994</v>
      </c>
      <c r="K109" s="154">
        <f>H109*0.15873+I109*7.042254+J109*0.079365</f>
        <v>55.47752324549166</v>
      </c>
      <c r="L109" s="114"/>
      <c r="M109" s="110"/>
      <c r="N109" s="156" t="e">
        <f>(N108+#REF!)/2</f>
        <v>#REF!</v>
      </c>
      <c r="O109" s="150" t="e">
        <f t="shared" si="34"/>
        <v>#REF!</v>
      </c>
      <c r="P109" s="116"/>
      <c r="Q109" s="115" t="e">
        <f>(F109+K109+O109)*0.05</f>
        <v>#REF!</v>
      </c>
      <c r="R109" s="115" t="e">
        <f>F109+K109+O109+Q109</f>
        <v>#REF!</v>
      </c>
      <c r="S109" s="115">
        <v>0.27</v>
      </c>
      <c r="T109" s="115">
        <v>18</v>
      </c>
      <c r="U109" s="150" t="e">
        <f>R109*S109*T109/100</f>
        <v>#REF!</v>
      </c>
      <c r="V109" s="206">
        <f t="shared" si="33"/>
        <v>1.5128307692307694E-2</v>
      </c>
      <c r="AA109">
        <v>1829</v>
      </c>
      <c r="AB109">
        <v>0.31128205128205128</v>
      </c>
      <c r="AC109">
        <v>1.5128307692307694E-2</v>
      </c>
    </row>
    <row r="110" spans="1:29">
      <c r="A110" s="110">
        <v>1830</v>
      </c>
      <c r="B110" s="111">
        <v>10.290000000000001</v>
      </c>
      <c r="C110" s="109">
        <v>9.8900000000000002E-2</v>
      </c>
      <c r="D110" s="112">
        <v>0.33025641025641028</v>
      </c>
      <c r="E110" s="161">
        <v>2.2999999999999998</v>
      </c>
      <c r="F110" s="113">
        <f t="shared" si="35"/>
        <v>27.928861391846159</v>
      </c>
      <c r="G110" s="114"/>
      <c r="H110" s="110">
        <v>10.72</v>
      </c>
      <c r="I110" s="111"/>
      <c r="J110" s="110">
        <v>10.08</v>
      </c>
      <c r="K110" s="110"/>
      <c r="L110" s="114"/>
      <c r="M110" s="110"/>
      <c r="N110" s="115"/>
      <c r="O110" s="109"/>
      <c r="P110" s="116"/>
      <c r="Q110" s="117"/>
      <c r="R110" s="110"/>
      <c r="S110" s="115">
        <v>0.27</v>
      </c>
      <c r="T110" s="115">
        <v>18</v>
      </c>
      <c r="U110" s="150"/>
      <c r="V110" s="206">
        <f t="shared" si="33"/>
        <v>1.6050461538461541E-2</v>
      </c>
      <c r="AA110">
        <v>1830</v>
      </c>
      <c r="AB110">
        <v>0.33025641025641028</v>
      </c>
      <c r="AC110">
        <v>1.6050461538461541E-2</v>
      </c>
    </row>
    <row r="111" spans="1:29">
      <c r="A111" s="110">
        <v>1831</v>
      </c>
      <c r="B111" s="111">
        <v>13.229999999999999</v>
      </c>
      <c r="C111" s="109">
        <v>0.11610000000000001</v>
      </c>
      <c r="D111" s="112">
        <v>0.4102564102564103</v>
      </c>
      <c r="E111" s="161">
        <v>2.2999999999999998</v>
      </c>
      <c r="F111" s="113">
        <f t="shared" si="35"/>
        <v>35.317753475846153</v>
      </c>
      <c r="G111" s="114"/>
      <c r="H111" s="110">
        <v>11.2</v>
      </c>
      <c r="I111" s="111"/>
      <c r="J111" s="110">
        <v>10.72</v>
      </c>
      <c r="K111" s="110"/>
      <c r="L111" s="114"/>
      <c r="M111" s="110"/>
      <c r="N111" s="115">
        <v>18</v>
      </c>
      <c r="O111" s="150">
        <f t="shared" ref="O111" si="36">N111*0.257732</f>
        <v>4.639176</v>
      </c>
      <c r="P111" s="116"/>
      <c r="Q111" s="117"/>
      <c r="R111" s="110"/>
      <c r="S111" s="115">
        <v>0.27</v>
      </c>
      <c r="T111" s="115">
        <v>18</v>
      </c>
      <c r="U111" s="150"/>
      <c r="V111" s="206">
        <f t="shared" si="33"/>
        <v>1.993846153846154E-2</v>
      </c>
      <c r="AA111">
        <v>1831</v>
      </c>
      <c r="AB111">
        <v>0.4102564102564103</v>
      </c>
      <c r="AC111">
        <v>1.993846153846154E-2</v>
      </c>
    </row>
    <row r="112" spans="1:29">
      <c r="A112" s="110">
        <v>1832</v>
      </c>
      <c r="B112" s="111">
        <v>17.64</v>
      </c>
      <c r="C112" s="109">
        <v>0.1333</v>
      </c>
      <c r="D112" s="112">
        <v>0.42307692307692307</v>
      </c>
      <c r="E112" s="161"/>
      <c r="F112" s="113"/>
      <c r="G112" s="114"/>
      <c r="H112" s="110">
        <v>13.44</v>
      </c>
      <c r="I112" s="111"/>
      <c r="J112" s="110">
        <v>10.88</v>
      </c>
      <c r="K112" s="110"/>
      <c r="L112" s="114"/>
      <c r="M112" s="110"/>
      <c r="N112" s="115"/>
      <c r="O112" s="109"/>
      <c r="P112" s="116"/>
      <c r="Q112" s="117"/>
      <c r="R112" s="110"/>
      <c r="S112" s="115">
        <v>0.27</v>
      </c>
      <c r="T112" s="115">
        <v>18</v>
      </c>
      <c r="U112" s="150"/>
      <c r="V112" s="206">
        <f t="shared" si="33"/>
        <v>2.0561538461538461E-2</v>
      </c>
      <c r="AA112">
        <v>1832</v>
      </c>
      <c r="AB112">
        <v>0.42307692307692307</v>
      </c>
      <c r="AC112">
        <v>2.0561538461538461E-2</v>
      </c>
    </row>
    <row r="113" spans="1:29">
      <c r="A113" s="110">
        <v>1833</v>
      </c>
      <c r="B113" s="111">
        <v>23.52</v>
      </c>
      <c r="C113" s="109">
        <v>0.1462</v>
      </c>
      <c r="D113" s="112">
        <v>0.4358974358974359</v>
      </c>
      <c r="E113" s="161"/>
      <c r="F113" s="113"/>
      <c r="G113" s="114"/>
      <c r="H113" s="110">
        <v>15.68</v>
      </c>
      <c r="I113" s="111">
        <v>7.5315986111111108</v>
      </c>
      <c r="J113" s="110">
        <v>10.88</v>
      </c>
      <c r="K113" s="154">
        <f>H113*0.15873+I113*7.042254+J113*0.079365</f>
        <v>56.391808045491658</v>
      </c>
      <c r="L113" s="114"/>
      <c r="M113" s="110"/>
      <c r="N113" s="115">
        <v>19</v>
      </c>
      <c r="O113" s="150">
        <f t="shared" ref="O113" si="37">N113*0.257732</f>
        <v>4.8969080000000007</v>
      </c>
      <c r="P113" s="116"/>
      <c r="Q113" s="117"/>
      <c r="R113" s="110"/>
      <c r="S113" s="115">
        <v>0.27</v>
      </c>
      <c r="T113" s="115">
        <v>18</v>
      </c>
      <c r="U113" s="150"/>
      <c r="V113" s="206">
        <f t="shared" si="33"/>
        <v>2.1184615384615389E-2</v>
      </c>
      <c r="AA113">
        <v>1833</v>
      </c>
      <c r="AB113">
        <v>0.4358974358974359</v>
      </c>
      <c r="AC113">
        <v>2.1184615384615389E-2</v>
      </c>
    </row>
    <row r="114" spans="1:29">
      <c r="A114" s="110">
        <v>1834</v>
      </c>
      <c r="B114" s="111">
        <v>20.580000000000002</v>
      </c>
      <c r="C114" s="109">
        <v>0.15049999999999999</v>
      </c>
      <c r="D114" s="112">
        <v>0.42735042735042733</v>
      </c>
      <c r="E114" s="161">
        <v>2.4</v>
      </c>
      <c r="F114" s="113">
        <f t="shared" ref="F114" si="38">2.110043*B114+12.19512*C114+12.19512*D114+E114*0.42735</f>
        <v>51.497280243589749</v>
      </c>
      <c r="G114" s="114"/>
      <c r="H114" s="110">
        <v>13.12</v>
      </c>
      <c r="I114" s="111"/>
      <c r="J114" s="110">
        <v>10.56</v>
      </c>
      <c r="K114" s="110"/>
      <c r="L114" s="114"/>
      <c r="M114" s="110"/>
      <c r="N114" s="115"/>
      <c r="O114" s="109"/>
      <c r="P114" s="116"/>
      <c r="Q114" s="117"/>
      <c r="R114" s="110"/>
      <c r="S114" s="115">
        <v>0.27</v>
      </c>
      <c r="T114" s="115">
        <v>18</v>
      </c>
      <c r="U114" s="150"/>
      <c r="V114" s="206">
        <f t="shared" si="33"/>
        <v>2.0769230769230772E-2</v>
      </c>
      <c r="AA114">
        <v>1834</v>
      </c>
      <c r="AB114">
        <v>0.42735042735042733</v>
      </c>
      <c r="AC114">
        <v>2.0769230769230772E-2</v>
      </c>
    </row>
    <row r="115" spans="1:29">
      <c r="A115" s="110">
        <v>1835</v>
      </c>
      <c r="B115" s="111">
        <v>16.170000000000002</v>
      </c>
      <c r="C115" s="109">
        <v>0.15479999999999999</v>
      </c>
      <c r="D115" s="112">
        <v>0.41880341880341881</v>
      </c>
      <c r="E115" s="161"/>
      <c r="F115" s="113"/>
      <c r="G115" s="114"/>
      <c r="H115" s="110">
        <v>10.72</v>
      </c>
      <c r="I115" s="111"/>
      <c r="J115" s="110">
        <v>10.08</v>
      </c>
      <c r="K115" s="110"/>
      <c r="L115" s="114"/>
      <c r="M115" s="110"/>
      <c r="N115" s="115"/>
      <c r="O115" s="109"/>
      <c r="P115" s="116"/>
      <c r="Q115" s="117"/>
      <c r="R115" s="110"/>
      <c r="S115" s="115">
        <v>0.27</v>
      </c>
      <c r="T115" s="115">
        <v>18</v>
      </c>
      <c r="U115" s="150"/>
      <c r="V115" s="206">
        <f t="shared" si="33"/>
        <v>2.0353846153846156E-2</v>
      </c>
      <c r="AA115">
        <v>1835</v>
      </c>
      <c r="AB115">
        <v>0.41880341880341881</v>
      </c>
      <c r="AC115">
        <v>2.0353846153846156E-2</v>
      </c>
    </row>
    <row r="116" spans="1:29">
      <c r="A116" s="110">
        <v>1836</v>
      </c>
      <c r="B116" s="111">
        <v>11.76</v>
      </c>
      <c r="C116" s="109">
        <v>0.15909999999999999</v>
      </c>
      <c r="D116" s="112">
        <v>0.4102564102564103</v>
      </c>
      <c r="E116" s="161">
        <v>2.4</v>
      </c>
      <c r="F116" s="113">
        <f t="shared" ref="F116:F118" si="39">2.110043*B116+12.19512*C116+12.19512*D116+E116*0.42735</f>
        <v>32.783115425846155</v>
      </c>
      <c r="G116" s="114"/>
      <c r="H116" s="110">
        <v>12</v>
      </c>
      <c r="I116" s="111">
        <v>6.5901486111111121</v>
      </c>
      <c r="J116" s="110">
        <v>9.76</v>
      </c>
      <c r="K116" s="154">
        <f>H116*0.15873+I116*7.042254+J116*0.079365</f>
        <v>49.088862817191675</v>
      </c>
      <c r="L116" s="114"/>
      <c r="M116" s="110"/>
      <c r="N116" s="115">
        <v>19</v>
      </c>
      <c r="O116" s="150">
        <f t="shared" ref="O116" si="40">N116*0.257732</f>
        <v>4.8969080000000007</v>
      </c>
      <c r="P116" s="116"/>
      <c r="Q116" s="115">
        <f>(F116+K116+O116)*0.05</f>
        <v>4.3384443121518919</v>
      </c>
      <c r="R116" s="115">
        <f>F116+K116+O116+Q116</f>
        <v>91.107330555189719</v>
      </c>
      <c r="S116" s="110">
        <v>0.27400000000000002</v>
      </c>
      <c r="T116" s="115">
        <v>18</v>
      </c>
      <c r="U116" s="150">
        <f>R116*S116*T116/100</f>
        <v>4.4934135429819575</v>
      </c>
      <c r="V116" s="206">
        <f t="shared" si="33"/>
        <v>2.0233846153846158E-2</v>
      </c>
      <c r="AA116">
        <v>1836</v>
      </c>
      <c r="AB116">
        <v>0.4102564102564103</v>
      </c>
      <c r="AC116">
        <v>2.0233846153846158E-2</v>
      </c>
    </row>
    <row r="117" spans="1:29">
      <c r="A117" s="110">
        <v>1837</v>
      </c>
      <c r="B117" s="111">
        <v>11.76</v>
      </c>
      <c r="C117" s="109">
        <v>0.16770000000000002</v>
      </c>
      <c r="D117" s="112">
        <v>0.4358974358974359</v>
      </c>
      <c r="E117" s="161">
        <v>2.2999999999999998</v>
      </c>
      <c r="F117" s="113">
        <f t="shared" si="39"/>
        <v>33.157953842461538</v>
      </c>
      <c r="G117" s="114"/>
      <c r="H117" s="110">
        <v>12</v>
      </c>
      <c r="I117" s="111"/>
      <c r="J117" s="110">
        <v>9.76</v>
      </c>
      <c r="K117" s="110"/>
      <c r="L117" s="114"/>
      <c r="M117" s="110"/>
      <c r="N117" s="115"/>
      <c r="O117" s="109"/>
      <c r="P117" s="116"/>
      <c r="Q117" s="117"/>
      <c r="R117" s="110"/>
      <c r="S117" s="110">
        <v>0.27400000000000002</v>
      </c>
      <c r="T117" s="115">
        <v>18</v>
      </c>
      <c r="U117" s="150"/>
      <c r="V117" s="206">
        <f t="shared" si="33"/>
        <v>2.1498461538461536E-2</v>
      </c>
      <c r="AA117">
        <v>1837</v>
      </c>
      <c r="AB117">
        <v>0.4358974358974359</v>
      </c>
      <c r="AC117">
        <v>2.1498461538461536E-2</v>
      </c>
    </row>
    <row r="118" spans="1:29">
      <c r="A118" s="110">
        <v>1838</v>
      </c>
      <c r="B118" s="111">
        <v>10.290000000000001</v>
      </c>
      <c r="C118" s="109">
        <v>0.18059999999999998</v>
      </c>
      <c r="D118" s="112">
        <v>0.46153846153846156</v>
      </c>
      <c r="E118" s="161">
        <v>2.2000000000000002</v>
      </c>
      <c r="F118" s="113">
        <f t="shared" si="39"/>
        <v>30.483468065076924</v>
      </c>
      <c r="G118" s="114"/>
      <c r="H118" s="110">
        <v>11.52</v>
      </c>
      <c r="I118" s="111"/>
      <c r="J118" s="110">
        <v>9.76</v>
      </c>
      <c r="K118" s="110"/>
      <c r="L118" s="114"/>
      <c r="M118" s="110"/>
      <c r="N118" s="115"/>
      <c r="O118" s="109"/>
      <c r="P118" s="116"/>
      <c r="Q118" s="117"/>
      <c r="R118" s="110"/>
      <c r="S118" s="110">
        <v>0.27400000000000002</v>
      </c>
      <c r="T118" s="115">
        <v>18</v>
      </c>
      <c r="U118" s="109"/>
      <c r="V118" s="206">
        <f t="shared" si="33"/>
        <v>2.2763076923076928E-2</v>
      </c>
      <c r="AA118">
        <v>1838</v>
      </c>
      <c r="AB118">
        <v>0.46153846153846156</v>
      </c>
      <c r="AC118">
        <v>2.2763076923076928E-2</v>
      </c>
    </row>
    <row r="119" spans="1:29">
      <c r="A119" s="110">
        <v>1839</v>
      </c>
      <c r="B119" s="111">
        <v>10.290000000000001</v>
      </c>
      <c r="C119" s="109">
        <v>0.12040000000000001</v>
      </c>
      <c r="D119" s="112">
        <v>0.30769230769230771</v>
      </c>
      <c r="E119" s="161"/>
      <c r="F119" s="113"/>
      <c r="G119" s="114"/>
      <c r="H119" s="110">
        <v>7.68</v>
      </c>
      <c r="I119" s="111"/>
      <c r="J119" s="110">
        <v>8.16</v>
      </c>
      <c r="K119" s="110"/>
      <c r="L119" s="114"/>
      <c r="M119" s="110"/>
      <c r="N119" s="115"/>
      <c r="O119" s="109"/>
      <c r="P119" s="116"/>
      <c r="Q119" s="117"/>
      <c r="R119" s="110"/>
      <c r="S119" s="110">
        <v>0.27400000000000002</v>
      </c>
      <c r="T119" s="115">
        <v>18</v>
      </c>
      <c r="U119" s="109"/>
      <c r="V119" s="206">
        <f t="shared" si="33"/>
        <v>1.5175384615384617E-2</v>
      </c>
      <c r="AA119">
        <v>1839</v>
      </c>
      <c r="AB119">
        <v>0.30769230769230771</v>
      </c>
      <c r="AC119">
        <v>1.5175384615384617E-2</v>
      </c>
    </row>
    <row r="120" spans="1:29">
      <c r="A120" s="110">
        <v>1840</v>
      </c>
      <c r="B120" s="111">
        <v>8.82</v>
      </c>
      <c r="C120" s="109">
        <v>6.4500000000000002E-2</v>
      </c>
      <c r="D120" s="112">
        <v>0.15384615384615385</v>
      </c>
      <c r="E120" s="161"/>
      <c r="F120" s="113"/>
      <c r="G120" s="114"/>
      <c r="H120" s="110">
        <v>4</v>
      </c>
      <c r="I120" s="111"/>
      <c r="J120" s="110">
        <v>6.56</v>
      </c>
      <c r="K120" s="110"/>
      <c r="L120" s="114"/>
      <c r="M120" s="110"/>
      <c r="N120" s="115"/>
      <c r="O120" s="109"/>
      <c r="P120" s="116"/>
      <c r="Q120" s="117"/>
      <c r="R120" s="110"/>
      <c r="S120" s="110">
        <v>0.27400000000000002</v>
      </c>
      <c r="T120" s="115">
        <v>18</v>
      </c>
      <c r="U120" s="109"/>
      <c r="V120" s="206">
        <f t="shared" si="33"/>
        <v>7.5876923076923083E-3</v>
      </c>
      <c r="AA120">
        <v>1840</v>
      </c>
      <c r="AB120">
        <v>0.15384615384615385</v>
      </c>
      <c r="AC120">
        <v>7.5876923076923083E-3</v>
      </c>
    </row>
    <row r="121" spans="1:29">
      <c r="A121" s="110">
        <v>1841</v>
      </c>
      <c r="B121" s="111">
        <v>10.290000000000001</v>
      </c>
      <c r="C121" s="109">
        <v>6.4500000000000002E-2</v>
      </c>
      <c r="D121" s="112">
        <v>0.16410256410256413</v>
      </c>
      <c r="E121" s="161"/>
      <c r="F121" s="113"/>
      <c r="G121" s="114"/>
      <c r="H121" s="110">
        <v>3.84</v>
      </c>
      <c r="I121" s="111"/>
      <c r="J121" s="110">
        <v>4.96</v>
      </c>
      <c r="K121" s="110"/>
      <c r="L121" s="114"/>
      <c r="M121" s="110"/>
      <c r="N121" s="115"/>
      <c r="O121" s="109"/>
      <c r="P121" s="116"/>
      <c r="Q121" s="117"/>
      <c r="R121" s="110"/>
      <c r="S121" s="110">
        <v>0.27400000000000002</v>
      </c>
      <c r="T121" s="115">
        <v>18</v>
      </c>
      <c r="U121" s="109"/>
      <c r="V121" s="206">
        <f t="shared" si="33"/>
        <v>8.0935384615384628E-3</v>
      </c>
      <c r="AA121">
        <v>1841</v>
      </c>
      <c r="AB121">
        <v>0.16410256410256413</v>
      </c>
      <c r="AC121">
        <v>8.0935384615384628E-3</v>
      </c>
    </row>
    <row r="122" spans="1:29">
      <c r="A122" s="110">
        <v>1842</v>
      </c>
      <c r="B122" s="111">
        <v>5.88</v>
      </c>
      <c r="C122" s="109">
        <v>6.4500000000000002E-2</v>
      </c>
      <c r="D122" s="112">
        <v>0.15384615384615385</v>
      </c>
      <c r="E122" s="161"/>
      <c r="F122" s="113"/>
      <c r="G122" s="114"/>
      <c r="H122" s="110">
        <v>3.84</v>
      </c>
      <c r="I122" s="111"/>
      <c r="J122" s="110">
        <v>3.36</v>
      </c>
      <c r="K122" s="110"/>
      <c r="L122" s="114"/>
      <c r="M122" s="110"/>
      <c r="N122" s="115"/>
      <c r="O122" s="109"/>
      <c r="P122" s="116"/>
      <c r="Q122" s="117"/>
      <c r="R122" s="110"/>
      <c r="S122" s="110">
        <v>0.27400000000000002</v>
      </c>
      <c r="T122" s="115">
        <v>18</v>
      </c>
      <c r="U122" s="109"/>
      <c r="V122" s="206">
        <f t="shared" si="33"/>
        <v>7.5876923076923083E-3</v>
      </c>
      <c r="AA122">
        <v>1842</v>
      </c>
      <c r="AB122">
        <v>0.15384615384615385</v>
      </c>
      <c r="AC122">
        <v>7.5876923076923083E-3</v>
      </c>
    </row>
    <row r="123" spans="1:29">
      <c r="A123" s="110">
        <v>1843</v>
      </c>
      <c r="B123" s="111">
        <v>7.3500000000000005</v>
      </c>
      <c r="C123" s="109">
        <v>5.16E-2</v>
      </c>
      <c r="D123" s="112">
        <v>0.14358974358974361</v>
      </c>
      <c r="E123" s="161"/>
      <c r="F123" s="113"/>
      <c r="G123" s="114"/>
      <c r="H123" s="110">
        <v>3.84</v>
      </c>
      <c r="I123" s="111"/>
      <c r="J123" s="110">
        <v>3.2</v>
      </c>
      <c r="K123" s="110"/>
      <c r="L123" s="114"/>
      <c r="M123" s="110"/>
      <c r="N123" s="115"/>
      <c r="O123" s="109"/>
      <c r="P123" s="116"/>
      <c r="Q123" s="117"/>
      <c r="R123" s="110"/>
      <c r="S123" s="110">
        <v>0.27400000000000002</v>
      </c>
      <c r="T123" s="115">
        <v>18</v>
      </c>
      <c r="U123" s="109"/>
      <c r="V123" s="206">
        <f t="shared" si="33"/>
        <v>7.0818461538461556E-3</v>
      </c>
      <c r="AA123">
        <v>1843</v>
      </c>
      <c r="AB123">
        <v>0.14358974358974361</v>
      </c>
      <c r="AC123">
        <v>7.0818461538461556E-3</v>
      </c>
    </row>
    <row r="124" spans="1:29">
      <c r="A124" s="110">
        <v>1844</v>
      </c>
      <c r="B124" s="111">
        <v>8.82</v>
      </c>
      <c r="C124" s="109">
        <v>4.3000000000000003E-2</v>
      </c>
      <c r="D124" s="112">
        <v>0.15384615384615385</v>
      </c>
      <c r="E124" s="161"/>
      <c r="F124" s="113"/>
      <c r="G124" s="114"/>
      <c r="H124" s="110">
        <v>3.84</v>
      </c>
      <c r="I124" s="111"/>
      <c r="J124" s="110">
        <v>3.04</v>
      </c>
      <c r="K124" s="110"/>
      <c r="L124" s="114"/>
      <c r="M124" s="110"/>
      <c r="N124" s="115"/>
      <c r="O124" s="109"/>
      <c r="P124" s="116"/>
      <c r="Q124" s="117"/>
      <c r="R124" s="110"/>
      <c r="S124" s="110">
        <v>0.27400000000000002</v>
      </c>
      <c r="T124" s="115">
        <v>18</v>
      </c>
      <c r="U124" s="109"/>
      <c r="V124" s="206">
        <f t="shared" si="33"/>
        <v>7.5876923076923083E-3</v>
      </c>
      <c r="AA124">
        <v>1844</v>
      </c>
      <c r="AB124">
        <v>0.15384615384615385</v>
      </c>
      <c r="AC124">
        <v>7.5876923076923083E-3</v>
      </c>
    </row>
    <row r="125" spans="1:29">
      <c r="A125" s="110">
        <v>1845</v>
      </c>
      <c r="B125" s="111">
        <v>5.88</v>
      </c>
      <c r="C125" s="109">
        <v>3.8699999999999998E-2</v>
      </c>
      <c r="D125" s="112">
        <v>0.1483974358974359</v>
      </c>
      <c r="E125" s="161"/>
      <c r="F125" s="113"/>
      <c r="G125" s="114"/>
      <c r="H125" s="110">
        <v>3.84</v>
      </c>
      <c r="I125" s="111"/>
      <c r="J125" s="110">
        <v>2.88</v>
      </c>
      <c r="K125" s="110"/>
      <c r="L125" s="114"/>
      <c r="M125" s="110"/>
      <c r="N125" s="115"/>
      <c r="O125" s="109"/>
      <c r="P125" s="116"/>
      <c r="Q125" s="117"/>
      <c r="R125" s="110"/>
      <c r="S125" s="110">
        <v>0.27400000000000002</v>
      </c>
      <c r="T125" s="115">
        <v>18</v>
      </c>
      <c r="U125" s="109"/>
      <c r="V125" s="206">
        <f t="shared" si="33"/>
        <v>7.3189615384615389E-3</v>
      </c>
      <c r="AA125">
        <v>1845</v>
      </c>
      <c r="AB125">
        <v>0.1483974358974359</v>
      </c>
      <c r="AC125">
        <v>7.3189615384615389E-3</v>
      </c>
    </row>
    <row r="126" spans="1:29">
      <c r="A126" s="110">
        <v>1846</v>
      </c>
      <c r="B126" s="111">
        <v>2.94</v>
      </c>
      <c r="C126" s="109">
        <v>3.8699999999999998E-2</v>
      </c>
      <c r="D126" s="112">
        <v>0.14294871794871794</v>
      </c>
      <c r="E126" s="161">
        <v>0.72</v>
      </c>
      <c r="F126" s="113">
        <f t="shared" ref="F126" si="41">2.110043*B126+12.19512*C126+12.19512*D126+E126*0.42735</f>
        <v>8.7264463332307685</v>
      </c>
      <c r="G126" s="114"/>
      <c r="H126" s="110">
        <v>3.84</v>
      </c>
      <c r="I126" s="111">
        <v>1.5690833333333334</v>
      </c>
      <c r="J126" s="110">
        <v>2.72</v>
      </c>
      <c r="K126" s="154">
        <f>H126*0.15873+I126*7.042254+J126*0.079365</f>
        <v>11.8752793805</v>
      </c>
      <c r="L126" s="114"/>
      <c r="M126" s="110"/>
      <c r="N126" s="115"/>
      <c r="O126" s="109"/>
      <c r="P126" s="116"/>
      <c r="Q126" s="117"/>
      <c r="R126" s="110"/>
      <c r="S126" s="110">
        <v>0.27400000000000002</v>
      </c>
      <c r="T126" s="115">
        <v>18</v>
      </c>
      <c r="U126" s="109"/>
      <c r="V126" s="206">
        <f t="shared" si="33"/>
        <v>7.0502307692307687E-3</v>
      </c>
      <c r="AA126">
        <v>1846</v>
      </c>
      <c r="AB126">
        <v>0.14294871794871794</v>
      </c>
      <c r="AC126">
        <v>7.0502307692307687E-3</v>
      </c>
    </row>
    <row r="127" spans="1:29">
      <c r="A127" s="110">
        <v>1847</v>
      </c>
      <c r="B127" s="111">
        <v>4.41</v>
      </c>
      <c r="C127" s="109">
        <v>4.7300000000000002E-2</v>
      </c>
      <c r="D127" s="112">
        <v>0.13749999999999998</v>
      </c>
      <c r="E127" s="161"/>
      <c r="F127" s="113"/>
      <c r="G127" s="114"/>
      <c r="H127" s="110">
        <v>3.84</v>
      </c>
      <c r="I127" s="111">
        <v>0</v>
      </c>
      <c r="J127" s="110">
        <v>2.72</v>
      </c>
      <c r="K127" s="110"/>
      <c r="L127" s="114"/>
      <c r="M127" s="110"/>
      <c r="N127" s="115"/>
      <c r="O127" s="109"/>
      <c r="P127" s="116"/>
      <c r="Q127" s="117"/>
      <c r="R127" s="110"/>
      <c r="S127" s="110">
        <v>0.27400000000000002</v>
      </c>
      <c r="T127" s="115">
        <v>18</v>
      </c>
      <c r="U127" s="109"/>
      <c r="V127" s="206">
        <f t="shared" si="33"/>
        <v>6.7815000000000002E-3</v>
      </c>
      <c r="AA127">
        <v>1847</v>
      </c>
      <c r="AB127">
        <v>0.13749999999999998</v>
      </c>
      <c r="AC127">
        <v>6.7815000000000002E-3</v>
      </c>
    </row>
    <row r="128" spans="1:29">
      <c r="A128" s="110">
        <v>1848</v>
      </c>
      <c r="B128" s="111">
        <v>2.94</v>
      </c>
      <c r="C128" s="109">
        <v>5.16E-2</v>
      </c>
      <c r="D128" s="112">
        <v>0.13205128205128205</v>
      </c>
      <c r="E128" s="161"/>
      <c r="F128" s="113"/>
      <c r="G128" s="114"/>
      <c r="H128" s="110">
        <v>3.68</v>
      </c>
      <c r="I128" s="111">
        <v>0</v>
      </c>
      <c r="J128" s="110">
        <v>2.72</v>
      </c>
      <c r="K128" s="110"/>
      <c r="L128" s="114"/>
      <c r="M128" s="110"/>
      <c r="N128" s="115"/>
      <c r="O128" s="109"/>
      <c r="P128" s="116"/>
      <c r="Q128" s="117"/>
      <c r="R128" s="110"/>
      <c r="S128" s="110">
        <v>0.27400000000000002</v>
      </c>
      <c r="T128" s="115">
        <v>18</v>
      </c>
      <c r="U128" s="109"/>
      <c r="V128" s="206">
        <f t="shared" si="33"/>
        <v>6.5127692307692308E-3</v>
      </c>
      <c r="AA128">
        <v>1848</v>
      </c>
      <c r="AB128">
        <v>0.13205128205128205</v>
      </c>
      <c r="AC128">
        <v>6.5127692307692308E-3</v>
      </c>
    </row>
    <row r="129" spans="1:29">
      <c r="A129" s="110">
        <v>1849</v>
      </c>
      <c r="B129" s="111">
        <v>2.94</v>
      </c>
      <c r="C129" s="109">
        <v>5.16E-2</v>
      </c>
      <c r="D129" s="112">
        <v>0.11730769230769231</v>
      </c>
      <c r="E129" s="161"/>
      <c r="F129" s="113"/>
      <c r="G129" s="114"/>
      <c r="H129" s="110">
        <v>3.68</v>
      </c>
      <c r="I129" s="111">
        <v>0</v>
      </c>
      <c r="J129" s="110">
        <v>2.88</v>
      </c>
      <c r="K129" s="110"/>
      <c r="L129" s="114"/>
      <c r="M129" s="110"/>
      <c r="N129" s="115"/>
      <c r="O129" s="109"/>
      <c r="P129" s="116"/>
      <c r="Q129" s="117"/>
      <c r="R129" s="110"/>
      <c r="S129" s="110">
        <v>0.27400000000000002</v>
      </c>
      <c r="T129" s="115">
        <v>18</v>
      </c>
      <c r="U129" s="109"/>
      <c r="V129" s="206">
        <f t="shared" si="33"/>
        <v>5.7856153846153847E-3</v>
      </c>
      <c r="AA129">
        <v>1849</v>
      </c>
      <c r="AB129">
        <v>0.11730769230769231</v>
      </c>
      <c r="AC129">
        <v>5.7856153846153847E-3</v>
      </c>
    </row>
    <row r="130" spans="1:29">
      <c r="A130" s="110">
        <v>1850</v>
      </c>
      <c r="B130" s="111">
        <v>2.94</v>
      </c>
      <c r="C130" s="109">
        <v>4.7300000000000002E-2</v>
      </c>
      <c r="D130" s="112">
        <v>0.10256410256410257</v>
      </c>
      <c r="E130" s="161">
        <v>2.2000000000000002</v>
      </c>
      <c r="F130" s="113">
        <f t="shared" ref="F130" si="42">2.110043*B130+12.19512*C130+12.19512*D130+E130*0.42735</f>
        <v>8.9713071344615383</v>
      </c>
      <c r="G130" s="114"/>
      <c r="H130" s="110">
        <v>3.52</v>
      </c>
      <c r="I130" s="111">
        <v>0</v>
      </c>
      <c r="J130" s="110">
        <v>2.88</v>
      </c>
      <c r="K130" s="110"/>
      <c r="L130" s="114"/>
      <c r="M130" s="110"/>
      <c r="N130" s="115"/>
      <c r="O130" s="109"/>
      <c r="P130" s="116"/>
      <c r="Q130" s="117"/>
      <c r="R130" s="110"/>
      <c r="S130" s="110">
        <v>0.27400000000000002</v>
      </c>
      <c r="T130" s="115">
        <v>18</v>
      </c>
      <c r="U130" s="109"/>
      <c r="V130" s="206">
        <f t="shared" si="33"/>
        <v>5.0584615384615395E-3</v>
      </c>
      <c r="AA130">
        <v>1850</v>
      </c>
      <c r="AB130">
        <v>0.10256410256410257</v>
      </c>
      <c r="AC130">
        <v>5.0584615384615395E-3</v>
      </c>
    </row>
    <row r="131" spans="1:29">
      <c r="A131" s="110">
        <v>1851</v>
      </c>
      <c r="B131" s="111">
        <v>4.41</v>
      </c>
      <c r="C131" s="109">
        <v>4.7300000000000002E-2</v>
      </c>
      <c r="D131" s="112">
        <v>0.16410256410256413</v>
      </c>
      <c r="E131" s="161"/>
      <c r="F131" s="113"/>
      <c r="G131" s="114"/>
      <c r="H131" s="110">
        <v>3.36</v>
      </c>
      <c r="I131" s="111">
        <v>1.8829</v>
      </c>
      <c r="J131" s="110">
        <v>2.88</v>
      </c>
      <c r="K131" s="154">
        <f>H131*0.15873+I131*7.042254+J131*0.079365</f>
        <v>14.021764056599999</v>
      </c>
      <c r="L131" s="114"/>
      <c r="M131" s="110"/>
      <c r="N131" s="115">
        <v>11.5</v>
      </c>
      <c r="O131" s="150">
        <f t="shared" ref="O131" si="43">N131*0.257732</f>
        <v>2.9639180000000001</v>
      </c>
      <c r="P131" s="116"/>
      <c r="Q131" s="117"/>
      <c r="R131" s="115"/>
      <c r="S131" s="110">
        <v>0.27400000000000002</v>
      </c>
      <c r="T131" s="115">
        <v>18</v>
      </c>
      <c r="U131" s="109"/>
      <c r="V131" s="206">
        <f t="shared" si="33"/>
        <v>8.0935384615384628E-3</v>
      </c>
      <c r="AA131">
        <v>1851</v>
      </c>
      <c r="AB131">
        <v>0.16410256410256413</v>
      </c>
      <c r="AC131">
        <v>8.0935384615384628E-3</v>
      </c>
    </row>
    <row r="132" spans="1:29">
      <c r="A132" s="110">
        <v>1852</v>
      </c>
      <c r="B132" s="111">
        <v>4.41</v>
      </c>
      <c r="C132" s="109">
        <v>4.3000000000000003E-2</v>
      </c>
      <c r="D132" s="112">
        <v>0.15213675213675215</v>
      </c>
      <c r="E132" s="161">
        <v>0.7</v>
      </c>
      <c r="F132" s="113">
        <f t="shared" ref="F132:F193" si="44">2.110043*B132+12.19512*C132+12.19512*D132+E132*0.42735</f>
        <v>11.984150738717949</v>
      </c>
      <c r="G132" s="114"/>
      <c r="H132" s="110">
        <v>3.36</v>
      </c>
      <c r="I132" s="111">
        <v>0</v>
      </c>
      <c r="J132" s="110">
        <v>2.88</v>
      </c>
      <c r="K132" s="110"/>
      <c r="L132" s="114"/>
      <c r="M132" s="110"/>
      <c r="N132" s="115"/>
      <c r="O132" s="109"/>
      <c r="P132" s="116"/>
      <c r="Q132" s="117"/>
      <c r="R132" s="110"/>
      <c r="S132" s="110">
        <v>0.27400000000000002</v>
      </c>
      <c r="T132" s="115">
        <v>18</v>
      </c>
      <c r="U132" s="109"/>
      <c r="V132" s="206">
        <f t="shared" si="33"/>
        <v>7.5033846153846166E-3</v>
      </c>
      <c r="AA132">
        <v>1852</v>
      </c>
      <c r="AB132">
        <v>0.15213675213675215</v>
      </c>
      <c r="AC132">
        <v>7.5033846153846166E-3</v>
      </c>
    </row>
    <row r="133" spans="1:29">
      <c r="A133" s="110">
        <v>1853</v>
      </c>
      <c r="B133" s="111">
        <v>4.41</v>
      </c>
      <c r="C133" s="109">
        <v>5.16E-2</v>
      </c>
      <c r="D133" s="112">
        <v>0.14017094017094017</v>
      </c>
      <c r="E133" s="161">
        <v>0.7</v>
      </c>
      <c r="F133" s="113">
        <f t="shared" si="44"/>
        <v>11.943104257897435</v>
      </c>
      <c r="G133" s="114"/>
      <c r="H133" s="110">
        <v>3.52</v>
      </c>
      <c r="I133" s="111">
        <v>0.3905763888888889</v>
      </c>
      <c r="J133" s="110">
        <v>2.72</v>
      </c>
      <c r="K133" s="154">
        <f>H133*0.15873+I133*7.042254+J133*0.079365</f>
        <v>3.5251405369583333</v>
      </c>
      <c r="L133" s="114"/>
      <c r="M133" s="110"/>
      <c r="N133" s="115"/>
      <c r="O133" s="109"/>
      <c r="P133" s="116"/>
      <c r="Q133" s="117"/>
      <c r="R133" s="110"/>
      <c r="S133" s="110">
        <v>0.27400000000000002</v>
      </c>
      <c r="T133" s="115">
        <v>18</v>
      </c>
      <c r="U133" s="109"/>
      <c r="V133" s="206">
        <f t="shared" si="33"/>
        <v>6.9132307692307696E-3</v>
      </c>
      <c r="AA133">
        <v>1853</v>
      </c>
      <c r="AB133">
        <v>0.14017094017094017</v>
      </c>
      <c r="AC133">
        <v>6.9132307692307696E-3</v>
      </c>
    </row>
    <row r="134" spans="1:29">
      <c r="A134" s="110">
        <v>1854</v>
      </c>
      <c r="B134" s="111">
        <v>4.41</v>
      </c>
      <c r="C134" s="109">
        <v>5.16E-2</v>
      </c>
      <c r="D134" s="112">
        <v>0.12820512820512822</v>
      </c>
      <c r="E134" s="161">
        <v>0.4</v>
      </c>
      <c r="F134" s="113">
        <f t="shared" si="44"/>
        <v>11.668974745076923</v>
      </c>
      <c r="G134" s="114"/>
      <c r="H134" s="110">
        <v>3.68</v>
      </c>
      <c r="I134" s="111">
        <v>0.41986944444444446</v>
      </c>
      <c r="J134" s="110">
        <v>2.56</v>
      </c>
      <c r="K134" s="154">
        <f t="shared" ref="K134:K193" si="45">H134*0.15873+I134*7.042254+J134*0.079365</f>
        <v>3.744128074616667</v>
      </c>
      <c r="L134" s="114"/>
      <c r="M134" s="110"/>
      <c r="N134" s="115">
        <v>8</v>
      </c>
      <c r="O134" s="150">
        <f t="shared" ref="O134:O135" si="46">N134*0.257732</f>
        <v>2.0618560000000001</v>
      </c>
      <c r="P134" s="116"/>
      <c r="Q134" s="115">
        <f>(F134+K134+O134)*0.05</f>
        <v>0.87374794098467956</v>
      </c>
      <c r="R134" s="115">
        <f>F134+K134+O134+Q134</f>
        <v>18.348706760678269</v>
      </c>
      <c r="S134" s="110">
        <v>0.95</v>
      </c>
      <c r="T134" s="115">
        <v>18</v>
      </c>
      <c r="U134" s="150">
        <f t="shared" ref="U134:U135" si="47">R134*S134*T134/100</f>
        <v>3.1376288560759837</v>
      </c>
      <c r="V134" s="206">
        <f t="shared" si="33"/>
        <v>2.1923076923076924E-2</v>
      </c>
      <c r="AA134">
        <v>1854</v>
      </c>
      <c r="AB134">
        <v>0.12820512820512822</v>
      </c>
      <c r="AC134">
        <v>2.1923076923076924E-2</v>
      </c>
    </row>
    <row r="135" spans="1:29">
      <c r="A135" s="110">
        <v>1855</v>
      </c>
      <c r="B135" s="111">
        <v>4.41</v>
      </c>
      <c r="C135" s="109">
        <v>3.8699999999999998E-2</v>
      </c>
      <c r="D135" s="112">
        <v>0.14102564102564102</v>
      </c>
      <c r="E135" s="161">
        <v>0.4</v>
      </c>
      <c r="F135" s="113">
        <f t="shared" si="44"/>
        <v>11.668005389384616</v>
      </c>
      <c r="G135" s="114"/>
      <c r="H135" s="110">
        <v>3.36</v>
      </c>
      <c r="I135" s="111">
        <v>0.43939861111111111</v>
      </c>
      <c r="J135" s="110">
        <v>2.72</v>
      </c>
      <c r="K135" s="154">
        <f t="shared" si="45"/>
        <v>3.8435622266916667</v>
      </c>
      <c r="L135" s="114"/>
      <c r="M135" s="110"/>
      <c r="N135" s="115">
        <v>8</v>
      </c>
      <c r="O135" s="150">
        <f t="shared" si="46"/>
        <v>2.0618560000000001</v>
      </c>
      <c r="P135" s="116"/>
      <c r="Q135" s="115">
        <f>(F135+K135+O135)*0.05</f>
        <v>0.87867118080381423</v>
      </c>
      <c r="R135" s="115">
        <f>F135+K135+O135+Q135</f>
        <v>18.452094796880097</v>
      </c>
      <c r="S135" s="110">
        <v>0.95</v>
      </c>
      <c r="T135" s="115">
        <v>18</v>
      </c>
      <c r="U135" s="150">
        <f t="shared" si="47"/>
        <v>3.1553082102664969</v>
      </c>
      <c r="V135" s="206">
        <f t="shared" si="33"/>
        <v>2.4115384615384615E-2</v>
      </c>
      <c r="AA135">
        <v>1855</v>
      </c>
      <c r="AB135">
        <v>0.14102564102564102</v>
      </c>
      <c r="AC135">
        <v>2.4115384615384615E-2</v>
      </c>
    </row>
    <row r="136" spans="1:29">
      <c r="A136" s="110">
        <v>1856</v>
      </c>
      <c r="B136" s="111">
        <v>5.88</v>
      </c>
      <c r="C136" s="109">
        <v>4.3000000000000003E-2</v>
      </c>
      <c r="D136" s="112">
        <v>0.14871794871794872</v>
      </c>
      <c r="E136" s="161">
        <v>0.6</v>
      </c>
      <c r="F136" s="113">
        <f t="shared" si="44"/>
        <v>15.001486230769231</v>
      </c>
      <c r="G136" s="114"/>
      <c r="H136" s="110">
        <v>4.16</v>
      </c>
      <c r="I136" s="111">
        <v>0.41986944444444446</v>
      </c>
      <c r="J136" s="110">
        <v>2.88</v>
      </c>
      <c r="K136" s="154">
        <f t="shared" si="45"/>
        <v>3.845715274616667</v>
      </c>
      <c r="L136" s="114"/>
      <c r="M136" s="110"/>
      <c r="N136" s="115"/>
      <c r="O136" s="109"/>
      <c r="P136" s="116"/>
      <c r="Q136" s="117"/>
      <c r="R136" s="110"/>
      <c r="S136" s="110">
        <v>0.95</v>
      </c>
      <c r="T136" s="115">
        <v>18</v>
      </c>
      <c r="U136" s="109"/>
      <c r="V136" s="206">
        <f t="shared" si="33"/>
        <v>2.5430769230769226E-2</v>
      </c>
      <c r="AA136">
        <v>1856</v>
      </c>
      <c r="AB136">
        <v>0.14871794871794872</v>
      </c>
      <c r="AC136">
        <v>2.5430769230769226E-2</v>
      </c>
    </row>
    <row r="137" spans="1:29">
      <c r="A137" s="110">
        <v>1857</v>
      </c>
      <c r="B137" s="111">
        <v>5.88</v>
      </c>
      <c r="C137" s="109">
        <v>5.16E-2</v>
      </c>
      <c r="D137" s="112">
        <v>0.15384615384615385</v>
      </c>
      <c r="E137" s="161">
        <v>0.6</v>
      </c>
      <c r="F137" s="113">
        <f t="shared" si="44"/>
        <v>15.168903339692308</v>
      </c>
      <c r="G137" s="114"/>
      <c r="H137" s="110">
        <v>4.96</v>
      </c>
      <c r="I137" s="111">
        <v>0.41986944444444446</v>
      </c>
      <c r="J137" s="110">
        <v>3.68</v>
      </c>
      <c r="K137" s="154">
        <f t="shared" si="45"/>
        <v>4.0361912746166668</v>
      </c>
      <c r="L137" s="114"/>
      <c r="M137" s="110"/>
      <c r="N137" s="115"/>
      <c r="O137" s="109"/>
      <c r="P137" s="116"/>
      <c r="Q137" s="117"/>
      <c r="R137" s="110"/>
      <c r="S137" s="110">
        <v>0.95</v>
      </c>
      <c r="T137" s="115">
        <v>18</v>
      </c>
      <c r="U137" s="109"/>
      <c r="V137" s="206">
        <f t="shared" si="33"/>
        <v>2.6307692307692306E-2</v>
      </c>
      <c r="AA137">
        <v>1857</v>
      </c>
      <c r="AB137">
        <v>0.15384615384615385</v>
      </c>
      <c r="AC137">
        <v>2.6307692307692306E-2</v>
      </c>
    </row>
    <row r="138" spans="1:29">
      <c r="A138" s="110">
        <v>1858</v>
      </c>
      <c r="B138" s="111">
        <v>5.88</v>
      </c>
      <c r="C138" s="109">
        <v>6.4500000000000002E-2</v>
      </c>
      <c r="D138" s="112">
        <v>0.16666666666666669</v>
      </c>
      <c r="E138" s="161">
        <v>0.6</v>
      </c>
      <c r="F138" s="113">
        <f t="shared" si="44"/>
        <v>15.48256808</v>
      </c>
      <c r="G138" s="114"/>
      <c r="H138" s="110">
        <v>4.96</v>
      </c>
      <c r="I138" s="111">
        <v>0.34175416666666669</v>
      </c>
      <c r="J138" s="110">
        <v>3.84</v>
      </c>
      <c r="K138" s="154">
        <f t="shared" si="45"/>
        <v>3.4987820472250002</v>
      </c>
      <c r="L138" s="114"/>
      <c r="M138" s="110"/>
      <c r="N138" s="115"/>
      <c r="O138" s="109"/>
      <c r="P138" s="116"/>
      <c r="Q138" s="117"/>
      <c r="R138" s="110"/>
      <c r="S138" s="110">
        <v>0.95</v>
      </c>
      <c r="T138" s="115">
        <v>18</v>
      </c>
      <c r="U138" s="109"/>
      <c r="V138" s="206">
        <f t="shared" si="33"/>
        <v>2.8500000000000004E-2</v>
      </c>
      <c r="AA138">
        <v>1858</v>
      </c>
      <c r="AB138">
        <v>0.16666666666666669</v>
      </c>
      <c r="AC138">
        <v>2.8500000000000004E-2</v>
      </c>
    </row>
    <row r="139" spans="1:29">
      <c r="A139" s="110">
        <v>1859</v>
      </c>
      <c r="B139" s="111">
        <v>5.88</v>
      </c>
      <c r="C139" s="109">
        <v>7.3099999999999998E-2</v>
      </c>
      <c r="D139" s="112">
        <v>0.17948717948717949</v>
      </c>
      <c r="E139" s="161">
        <v>0.75</v>
      </c>
      <c r="F139" s="113">
        <f t="shared" si="44"/>
        <v>15.807896304307691</v>
      </c>
      <c r="G139" s="114"/>
      <c r="H139" s="110">
        <v>4.96</v>
      </c>
      <c r="I139" s="111">
        <v>0.34175416666666669</v>
      </c>
      <c r="J139" s="110">
        <v>3.68</v>
      </c>
      <c r="K139" s="154">
        <f t="shared" si="45"/>
        <v>3.4860836472250001</v>
      </c>
      <c r="L139" s="114"/>
      <c r="M139" s="110"/>
      <c r="N139" s="115">
        <v>8.5</v>
      </c>
      <c r="O139" s="150">
        <f t="shared" ref="O139" si="48">N139*0.257732</f>
        <v>2.1907220000000001</v>
      </c>
      <c r="P139" s="116"/>
      <c r="Q139" s="115">
        <f>(F139+K139+O139)*0.05</f>
        <v>1.0742350975766346</v>
      </c>
      <c r="R139" s="115">
        <f>F139+K139+O139+Q139</f>
        <v>22.558937049109325</v>
      </c>
      <c r="S139" s="110">
        <v>0.95</v>
      </c>
      <c r="T139" s="115">
        <v>18</v>
      </c>
      <c r="U139" s="150">
        <f t="shared" ref="U139" si="49">R139*S139*T139/100</f>
        <v>3.8575782353976944</v>
      </c>
      <c r="V139" s="206">
        <f t="shared" si="33"/>
        <v>3.0692307692307696E-2</v>
      </c>
      <c r="AA139">
        <v>1859</v>
      </c>
      <c r="AB139">
        <v>0.17948717948717949</v>
      </c>
      <c r="AC139">
        <v>3.0692307692307696E-2</v>
      </c>
    </row>
    <row r="140" spans="1:29">
      <c r="A140" s="110">
        <v>1860</v>
      </c>
      <c r="B140" s="111">
        <v>7.3500000000000005</v>
      </c>
      <c r="C140" s="109">
        <v>7.7399999999999997E-2</v>
      </c>
      <c r="D140" s="112">
        <v>0.24615384615384617</v>
      </c>
      <c r="E140" s="161">
        <v>0.75</v>
      </c>
      <c r="F140" s="113">
        <f t="shared" si="44"/>
        <v>19.775106530307692</v>
      </c>
      <c r="G140" s="114"/>
      <c r="H140" s="110">
        <v>5.44</v>
      </c>
      <c r="I140" s="111">
        <v>0.34175416666666669</v>
      </c>
      <c r="J140" s="110">
        <v>3.84</v>
      </c>
      <c r="K140" s="154">
        <f t="shared" si="45"/>
        <v>3.574972447225</v>
      </c>
      <c r="L140" s="114"/>
      <c r="M140" s="110"/>
      <c r="N140" s="115"/>
      <c r="O140" s="109"/>
      <c r="P140" s="116"/>
      <c r="Q140" s="117"/>
      <c r="R140" s="110"/>
      <c r="S140" s="110">
        <v>0.95</v>
      </c>
      <c r="T140" s="115">
        <v>18</v>
      </c>
      <c r="U140" s="109"/>
      <c r="V140" s="206">
        <f t="shared" si="33"/>
        <v>4.2092307692307693E-2</v>
      </c>
      <c r="AA140">
        <v>1860</v>
      </c>
      <c r="AB140">
        <v>0.24615384615384617</v>
      </c>
      <c r="AC140">
        <v>4.2092307692307693E-2</v>
      </c>
    </row>
    <row r="141" spans="1:29">
      <c r="A141" s="110">
        <v>1861</v>
      </c>
      <c r="B141" s="111">
        <v>5.88</v>
      </c>
      <c r="C141" s="109">
        <v>8.6000000000000007E-2</v>
      </c>
      <c r="D141" s="112">
        <v>0.22051282051282051</v>
      </c>
      <c r="E141" s="161">
        <v>0.75</v>
      </c>
      <c r="F141" s="113">
        <f t="shared" si="44"/>
        <v>16.465525967692308</v>
      </c>
      <c r="G141" s="114"/>
      <c r="H141" s="110">
        <v>6.24</v>
      </c>
      <c r="I141" s="111">
        <v>0.34175416666666669</v>
      </c>
      <c r="J141" s="110">
        <v>3.84</v>
      </c>
      <c r="K141" s="154">
        <f t="shared" si="45"/>
        <v>3.7019564472250002</v>
      </c>
      <c r="L141" s="114"/>
      <c r="M141" s="110"/>
      <c r="N141" s="115"/>
      <c r="O141" s="109"/>
      <c r="P141" s="116"/>
      <c r="Q141" s="117"/>
      <c r="R141" s="110"/>
      <c r="S141" s="110">
        <v>0.95</v>
      </c>
      <c r="T141" s="115">
        <v>18</v>
      </c>
      <c r="U141" s="109"/>
      <c r="V141" s="206">
        <f t="shared" si="33"/>
        <v>3.7707692307692303E-2</v>
      </c>
      <c r="AA141">
        <v>1861</v>
      </c>
      <c r="AB141">
        <v>0.22051282051282051</v>
      </c>
      <c r="AC141">
        <v>3.7707692307692303E-2</v>
      </c>
    </row>
    <row r="142" spans="1:29">
      <c r="A142" s="110">
        <v>1862</v>
      </c>
      <c r="B142" s="111">
        <v>5.88</v>
      </c>
      <c r="C142" s="109">
        <v>7.7399999999999997E-2</v>
      </c>
      <c r="D142" s="112">
        <v>0.22820512820512823</v>
      </c>
      <c r="E142" s="161">
        <v>0.75</v>
      </c>
      <c r="F142" s="113">
        <f t="shared" si="44"/>
        <v>16.454456551076923</v>
      </c>
      <c r="G142" s="114"/>
      <c r="H142" s="110">
        <v>5.92</v>
      </c>
      <c r="I142" s="111">
        <v>0.34175416666666669</v>
      </c>
      <c r="J142" s="110">
        <v>3.84</v>
      </c>
      <c r="K142" s="154">
        <f t="shared" si="45"/>
        <v>3.6511628472250002</v>
      </c>
      <c r="L142" s="114"/>
      <c r="M142" s="110"/>
      <c r="N142" s="115"/>
      <c r="O142" s="109"/>
      <c r="P142" s="116"/>
      <c r="Q142" s="117"/>
      <c r="R142" s="110"/>
      <c r="S142" s="110">
        <v>0.95</v>
      </c>
      <c r="T142" s="115">
        <v>18</v>
      </c>
      <c r="U142" s="109"/>
      <c r="V142" s="206">
        <f t="shared" si="33"/>
        <v>3.9023076923076924E-2</v>
      </c>
      <c r="AA142">
        <v>1862</v>
      </c>
      <c r="AB142">
        <v>0.22820512820512823</v>
      </c>
      <c r="AC142">
        <v>3.9023076923076924E-2</v>
      </c>
    </row>
    <row r="143" spans="1:29">
      <c r="A143" s="110">
        <v>1863</v>
      </c>
      <c r="B143" s="111">
        <v>4.41</v>
      </c>
      <c r="C143" s="109">
        <v>7.3099999999999998E-2</v>
      </c>
      <c r="D143" s="112">
        <v>0.23589743589743595</v>
      </c>
      <c r="E143" s="161">
        <v>0.75</v>
      </c>
      <c r="F143" s="113">
        <f t="shared" si="44"/>
        <v>13.394062940461538</v>
      </c>
      <c r="G143" s="114"/>
      <c r="H143" s="110">
        <v>5.6</v>
      </c>
      <c r="I143" s="111">
        <v>0.30269722222222223</v>
      </c>
      <c r="J143" s="110">
        <v>3.84</v>
      </c>
      <c r="K143" s="154">
        <f t="shared" si="45"/>
        <v>3.3253203239833335</v>
      </c>
      <c r="L143" s="114"/>
      <c r="M143" s="110"/>
      <c r="N143" s="115"/>
      <c r="O143" s="109"/>
      <c r="P143" s="116"/>
      <c r="Q143" s="117"/>
      <c r="R143" s="110"/>
      <c r="S143" s="110">
        <v>0.95</v>
      </c>
      <c r="T143" s="115">
        <v>18</v>
      </c>
      <c r="U143" s="109"/>
      <c r="V143" s="206">
        <f t="shared" si="33"/>
        <v>4.0338461538461538E-2</v>
      </c>
      <c r="AA143">
        <v>1863</v>
      </c>
      <c r="AB143">
        <v>0.23589743589743595</v>
      </c>
      <c r="AC143">
        <v>4.0338461538461538E-2</v>
      </c>
    </row>
    <row r="144" spans="1:29">
      <c r="A144" s="110">
        <v>1864</v>
      </c>
      <c r="B144" s="111">
        <v>4.41</v>
      </c>
      <c r="C144" s="109">
        <v>8.6000000000000007E-2</v>
      </c>
      <c r="D144" s="112">
        <v>0.22564102564102567</v>
      </c>
      <c r="E144" s="161">
        <v>0.8</v>
      </c>
      <c r="F144" s="113">
        <f t="shared" si="44"/>
        <v>13.447669334615385</v>
      </c>
      <c r="G144" s="114"/>
      <c r="H144" s="110">
        <v>4.32</v>
      </c>
      <c r="I144" s="111">
        <v>0.30269722222222223</v>
      </c>
      <c r="J144" s="110">
        <v>3.2</v>
      </c>
      <c r="K144" s="154">
        <f t="shared" si="45"/>
        <v>3.0713523239833336</v>
      </c>
      <c r="L144" s="114"/>
      <c r="M144" s="110"/>
      <c r="N144" s="115"/>
      <c r="O144" s="109"/>
      <c r="P144" s="116"/>
      <c r="Q144" s="117"/>
      <c r="R144" s="110"/>
      <c r="S144" s="110">
        <v>0.95</v>
      </c>
      <c r="T144" s="115">
        <v>18</v>
      </c>
      <c r="U144" s="109"/>
      <c r="V144" s="206">
        <f t="shared" si="33"/>
        <v>3.8584615384615391E-2</v>
      </c>
      <c r="AA144">
        <v>1864</v>
      </c>
      <c r="AB144">
        <v>0.22564102564102567</v>
      </c>
      <c r="AC144">
        <v>3.8584615384615391E-2</v>
      </c>
    </row>
    <row r="145" spans="1:29">
      <c r="A145" s="110">
        <v>1865</v>
      </c>
      <c r="B145" s="111">
        <v>4.41</v>
      </c>
      <c r="C145" s="109">
        <v>6.88E-2</v>
      </c>
      <c r="D145" s="112">
        <v>0.23076923076923078</v>
      </c>
      <c r="E145" s="161">
        <v>0.8</v>
      </c>
      <c r="F145" s="113">
        <f t="shared" si="44"/>
        <v>13.300452347538462</v>
      </c>
      <c r="G145" s="114"/>
      <c r="H145" s="110">
        <v>4.6399999999999997</v>
      </c>
      <c r="I145" s="111">
        <v>0.31246111111111113</v>
      </c>
      <c r="J145" s="110">
        <v>3.84</v>
      </c>
      <c r="K145" s="154">
        <f t="shared" si="45"/>
        <v>3.2416993095666671</v>
      </c>
      <c r="L145" s="114"/>
      <c r="M145" s="110"/>
      <c r="N145" s="115">
        <v>9</v>
      </c>
      <c r="O145" s="150">
        <f t="shared" ref="O145:O155" si="50">N145*0.257732</f>
        <v>2.319588</v>
      </c>
      <c r="P145" s="116"/>
      <c r="Q145" s="115">
        <f t="shared" ref="Q145:Q155" si="51">(F145+K145+O145)*0.05</f>
        <v>0.94308698285525649</v>
      </c>
      <c r="R145" s="115">
        <f t="shared" ref="R145:R155" si="52">F145+K145+O145+Q145</f>
        <v>19.804826639960385</v>
      </c>
      <c r="S145" s="110">
        <v>0.83</v>
      </c>
      <c r="T145" s="115">
        <v>18</v>
      </c>
      <c r="U145" s="150">
        <f t="shared" ref="U145:U155" si="53">R145*S145*T145/100</f>
        <v>2.9588411000100816</v>
      </c>
      <c r="V145" s="206">
        <f t="shared" si="33"/>
        <v>3.4476923076923079E-2</v>
      </c>
      <c r="AA145">
        <v>1865</v>
      </c>
      <c r="AB145">
        <v>0.23076923076923078</v>
      </c>
      <c r="AC145">
        <v>3.4476923076923079E-2</v>
      </c>
    </row>
    <row r="146" spans="1:29">
      <c r="A146" s="110">
        <v>1866</v>
      </c>
      <c r="B146" s="111">
        <v>7.3500000000000005</v>
      </c>
      <c r="C146" s="109">
        <v>9.4600000000000004E-2</v>
      </c>
      <c r="D146" s="112">
        <v>0.21794871794871795</v>
      </c>
      <c r="E146" s="161">
        <v>0.8</v>
      </c>
      <c r="F146" s="113">
        <f t="shared" si="44"/>
        <v>19.662265171230768</v>
      </c>
      <c r="G146" s="114"/>
      <c r="H146" s="110">
        <v>5.28</v>
      </c>
      <c r="I146" s="111">
        <v>0.31246111111111113</v>
      </c>
      <c r="J146" s="110">
        <v>3.84</v>
      </c>
      <c r="K146" s="154">
        <f t="shared" si="45"/>
        <v>3.3432865095666671</v>
      </c>
      <c r="L146" s="114"/>
      <c r="M146" s="110"/>
      <c r="N146" s="115">
        <v>10</v>
      </c>
      <c r="O146" s="150">
        <f t="shared" si="50"/>
        <v>2.5773200000000003</v>
      </c>
      <c r="P146" s="116"/>
      <c r="Q146" s="115">
        <f t="shared" si="51"/>
        <v>1.2791435840398719</v>
      </c>
      <c r="R146" s="115">
        <f t="shared" si="52"/>
        <v>26.862015264837307</v>
      </c>
      <c r="S146" s="110">
        <v>0.83</v>
      </c>
      <c r="T146" s="115">
        <v>18</v>
      </c>
      <c r="U146" s="150">
        <f t="shared" si="53"/>
        <v>4.0131850805666929</v>
      </c>
      <c r="V146" s="206">
        <f t="shared" si="33"/>
        <v>3.2561538461538461E-2</v>
      </c>
      <c r="AA146">
        <v>1866</v>
      </c>
      <c r="AB146">
        <v>0.21794871794871795</v>
      </c>
      <c r="AC146">
        <v>3.2561538461538461E-2</v>
      </c>
    </row>
    <row r="147" spans="1:29">
      <c r="A147" s="110">
        <v>1867</v>
      </c>
      <c r="B147" s="111">
        <v>7.3500000000000005</v>
      </c>
      <c r="C147" s="109">
        <v>0.12469999999999999</v>
      </c>
      <c r="D147" s="112">
        <v>0.2153846153846154</v>
      </c>
      <c r="E147" s="161">
        <v>0.8</v>
      </c>
      <c r="F147" s="113">
        <f t="shared" si="44"/>
        <v>19.998068744769231</v>
      </c>
      <c r="G147" s="114"/>
      <c r="H147" s="110">
        <v>5.44</v>
      </c>
      <c r="I147" s="111">
        <v>0.31246111111111113</v>
      </c>
      <c r="J147" s="110">
        <v>3.84</v>
      </c>
      <c r="K147" s="154">
        <f t="shared" si="45"/>
        <v>3.3686833095666673</v>
      </c>
      <c r="L147" s="114"/>
      <c r="M147" s="110"/>
      <c r="N147" s="115">
        <v>8.5</v>
      </c>
      <c r="O147" s="150">
        <f t="shared" si="50"/>
        <v>2.1907220000000001</v>
      </c>
      <c r="P147" s="116"/>
      <c r="Q147" s="115">
        <f t="shared" si="51"/>
        <v>1.277873702716795</v>
      </c>
      <c r="R147" s="115">
        <f t="shared" si="52"/>
        <v>26.835347757052695</v>
      </c>
      <c r="S147" s="110">
        <v>0.83</v>
      </c>
      <c r="T147" s="115">
        <v>18</v>
      </c>
      <c r="U147" s="150">
        <f t="shared" si="53"/>
        <v>4.0092009549036725</v>
      </c>
      <c r="V147" s="206">
        <f t="shared" si="33"/>
        <v>3.2178461538461538E-2</v>
      </c>
      <c r="AA147">
        <v>1867</v>
      </c>
      <c r="AB147">
        <v>0.2153846153846154</v>
      </c>
      <c r="AC147">
        <v>3.2178461538461538E-2</v>
      </c>
    </row>
    <row r="148" spans="1:29">
      <c r="A148" s="110">
        <v>1868</v>
      </c>
      <c r="B148" s="111">
        <v>7.3500000000000005</v>
      </c>
      <c r="C148" s="109">
        <v>0.12040000000000001</v>
      </c>
      <c r="D148" s="112">
        <v>0.22051282051282056</v>
      </c>
      <c r="E148" s="161">
        <v>1.2</v>
      </c>
      <c r="F148" s="113">
        <f t="shared" si="44"/>
        <v>20.179108805692312</v>
      </c>
      <c r="G148" s="114"/>
      <c r="H148" s="110">
        <v>5.44</v>
      </c>
      <c r="I148" s="111">
        <v>0.31246111111111113</v>
      </c>
      <c r="J148" s="110">
        <v>4.16</v>
      </c>
      <c r="K148" s="154">
        <f t="shared" si="45"/>
        <v>3.3940801095666675</v>
      </c>
      <c r="L148" s="114"/>
      <c r="M148" s="110"/>
      <c r="N148" s="115">
        <v>11</v>
      </c>
      <c r="O148" s="150">
        <f t="shared" si="50"/>
        <v>2.8350520000000001</v>
      </c>
      <c r="P148" s="116"/>
      <c r="Q148" s="115">
        <f t="shared" si="51"/>
        <v>1.3204120457629491</v>
      </c>
      <c r="R148" s="115">
        <f t="shared" si="52"/>
        <v>27.728652961021933</v>
      </c>
      <c r="S148" s="110">
        <v>0.83</v>
      </c>
      <c r="T148" s="115">
        <v>18</v>
      </c>
      <c r="U148" s="150">
        <f t="shared" si="53"/>
        <v>4.1426607523766767</v>
      </c>
      <c r="V148" s="206">
        <f t="shared" si="33"/>
        <v>3.2944615384615392E-2</v>
      </c>
      <c r="AA148">
        <v>1868</v>
      </c>
      <c r="AB148">
        <v>0.22051282051282056</v>
      </c>
      <c r="AC148">
        <v>3.2944615384615392E-2</v>
      </c>
    </row>
    <row r="149" spans="1:29">
      <c r="A149" s="110">
        <v>1869</v>
      </c>
      <c r="B149" s="111">
        <v>7.3500000000000005</v>
      </c>
      <c r="C149" s="109">
        <v>0.11610000000000001</v>
      </c>
      <c r="D149" s="112">
        <v>0.22564102564102567</v>
      </c>
      <c r="E149" s="161">
        <v>0.8</v>
      </c>
      <c r="F149" s="113">
        <f t="shared" si="44"/>
        <v>20.018268866615387</v>
      </c>
      <c r="G149" s="114"/>
      <c r="H149" s="110">
        <v>5.6</v>
      </c>
      <c r="I149" s="111">
        <v>0.31246111111111113</v>
      </c>
      <c r="J149" s="110">
        <v>4.4800000000000004</v>
      </c>
      <c r="K149" s="154">
        <f t="shared" si="45"/>
        <v>3.4448737095666671</v>
      </c>
      <c r="L149" s="114"/>
      <c r="M149" s="110"/>
      <c r="N149" s="115">
        <v>11.5</v>
      </c>
      <c r="O149" s="150">
        <f t="shared" si="50"/>
        <v>2.9639180000000001</v>
      </c>
      <c r="P149" s="116"/>
      <c r="Q149" s="115">
        <f t="shared" si="51"/>
        <v>1.3213530288091029</v>
      </c>
      <c r="R149" s="115">
        <f t="shared" si="52"/>
        <v>27.748413604991157</v>
      </c>
      <c r="S149" s="110">
        <v>0.83</v>
      </c>
      <c r="T149" s="115">
        <v>18</v>
      </c>
      <c r="U149" s="150">
        <f t="shared" si="53"/>
        <v>4.1456129925856793</v>
      </c>
      <c r="V149" s="206">
        <f t="shared" si="33"/>
        <v>3.3710769230769232E-2</v>
      </c>
      <c r="AA149">
        <v>1869</v>
      </c>
      <c r="AB149">
        <v>0.22564102564102567</v>
      </c>
      <c r="AC149">
        <v>3.3710769230769232E-2</v>
      </c>
    </row>
    <row r="150" spans="1:29">
      <c r="A150" s="110">
        <v>1870</v>
      </c>
      <c r="B150" s="111">
        <v>7.3500000000000005</v>
      </c>
      <c r="C150" s="109">
        <v>0.1118</v>
      </c>
      <c r="D150" s="112">
        <v>0.23076923076923078</v>
      </c>
      <c r="E150" s="161">
        <v>0.8</v>
      </c>
      <c r="F150" s="113">
        <f t="shared" si="44"/>
        <v>20.028368927538462</v>
      </c>
      <c r="G150" s="114"/>
      <c r="H150" s="110">
        <v>5.6</v>
      </c>
      <c r="I150" s="111">
        <v>0.31246111111111113</v>
      </c>
      <c r="J150" s="110">
        <v>4.8</v>
      </c>
      <c r="K150" s="154">
        <f t="shared" si="45"/>
        <v>3.4702705095666673</v>
      </c>
      <c r="L150" s="114"/>
      <c r="M150" s="110"/>
      <c r="N150" s="115">
        <v>10.3</v>
      </c>
      <c r="O150" s="150">
        <f t="shared" si="50"/>
        <v>2.6546396000000003</v>
      </c>
      <c r="P150" s="116"/>
      <c r="Q150" s="115">
        <f t="shared" si="51"/>
        <v>1.3076639518552566</v>
      </c>
      <c r="R150" s="115">
        <f t="shared" si="52"/>
        <v>27.460942988960387</v>
      </c>
      <c r="S150" s="110">
        <v>0.8</v>
      </c>
      <c r="T150" s="115">
        <v>18</v>
      </c>
      <c r="U150" s="150">
        <f t="shared" si="53"/>
        <v>3.9543757904102961</v>
      </c>
      <c r="V150" s="206">
        <f t="shared" si="33"/>
        <v>3.323076923076923E-2</v>
      </c>
      <c r="AA150">
        <v>1870</v>
      </c>
      <c r="AB150">
        <v>0.23076923076923078</v>
      </c>
      <c r="AC150">
        <v>3.323076923076923E-2</v>
      </c>
    </row>
    <row r="151" spans="1:29">
      <c r="A151" s="110">
        <v>1871</v>
      </c>
      <c r="B151" s="111">
        <v>8.82</v>
      </c>
      <c r="C151" s="109">
        <v>0.1032</v>
      </c>
      <c r="D151" s="112">
        <v>0.23589743589743595</v>
      </c>
      <c r="E151" s="161">
        <v>0.8</v>
      </c>
      <c r="F151" s="113">
        <f t="shared" si="44"/>
        <v>23.087793182461539</v>
      </c>
      <c r="G151" s="114"/>
      <c r="H151" s="110">
        <v>5.6</v>
      </c>
      <c r="I151" s="111">
        <v>0.31246111111111113</v>
      </c>
      <c r="J151" s="110">
        <v>5.12</v>
      </c>
      <c r="K151" s="154">
        <f t="shared" si="45"/>
        <v>3.495667309566667</v>
      </c>
      <c r="L151" s="114"/>
      <c r="M151" s="110"/>
      <c r="N151" s="115">
        <v>7.5</v>
      </c>
      <c r="O151" s="150">
        <f t="shared" si="50"/>
        <v>1.9329900000000002</v>
      </c>
      <c r="P151" s="116"/>
      <c r="Q151" s="115">
        <f t="shared" si="51"/>
        <v>1.4258225246014105</v>
      </c>
      <c r="R151" s="115">
        <f t="shared" si="52"/>
        <v>29.942273016629617</v>
      </c>
      <c r="S151" s="110">
        <v>0.8</v>
      </c>
      <c r="T151" s="115">
        <v>18</v>
      </c>
      <c r="U151" s="150">
        <f t="shared" si="53"/>
        <v>4.3116873143946641</v>
      </c>
      <c r="V151" s="206">
        <f t="shared" si="33"/>
        <v>3.3969230769230779E-2</v>
      </c>
      <c r="AA151">
        <v>1871</v>
      </c>
      <c r="AB151">
        <v>0.23589743589743595</v>
      </c>
      <c r="AC151">
        <v>3.3969230769230779E-2</v>
      </c>
    </row>
    <row r="152" spans="1:29">
      <c r="A152" s="110">
        <v>1872</v>
      </c>
      <c r="B152" s="111">
        <v>7.3500000000000005</v>
      </c>
      <c r="C152" s="109">
        <v>0.15909999999999999</v>
      </c>
      <c r="D152" s="112">
        <v>0.24615384615384617</v>
      </c>
      <c r="E152" s="161">
        <v>0.8</v>
      </c>
      <c r="F152" s="113">
        <f t="shared" si="44"/>
        <v>20.792815334307694</v>
      </c>
      <c r="G152" s="114"/>
      <c r="H152" s="110">
        <v>5.76</v>
      </c>
      <c r="I152" s="111">
        <v>0.31944444444444448</v>
      </c>
      <c r="J152" s="110">
        <v>4.6399999999999997</v>
      </c>
      <c r="K152" s="154">
        <f t="shared" si="45"/>
        <v>3.5321473166666668</v>
      </c>
      <c r="L152" s="114"/>
      <c r="M152" s="110"/>
      <c r="N152" s="115">
        <v>8</v>
      </c>
      <c r="O152" s="150">
        <f t="shared" si="50"/>
        <v>2.0618560000000001</v>
      </c>
      <c r="P152" s="116"/>
      <c r="Q152" s="115">
        <f t="shared" si="51"/>
        <v>1.319340932548718</v>
      </c>
      <c r="R152" s="115">
        <f t="shared" si="52"/>
        <v>27.706159583523078</v>
      </c>
      <c r="S152" s="110">
        <v>0.8</v>
      </c>
      <c r="T152" s="115">
        <v>18</v>
      </c>
      <c r="U152" s="150">
        <f t="shared" si="53"/>
        <v>3.9896869800273236</v>
      </c>
      <c r="V152" s="206">
        <f t="shared" si="33"/>
        <v>3.5446153846153849E-2</v>
      </c>
      <c r="AA152">
        <v>1872</v>
      </c>
      <c r="AB152">
        <v>0.24615384615384617</v>
      </c>
      <c r="AC152">
        <v>3.5446153846153849E-2</v>
      </c>
    </row>
    <row r="153" spans="1:29">
      <c r="A153" s="110">
        <v>1873</v>
      </c>
      <c r="B153" s="111">
        <v>0</v>
      </c>
      <c r="C153" s="109">
        <v>0.1376</v>
      </c>
      <c r="D153" s="112">
        <v>0.30769230769230771</v>
      </c>
      <c r="E153" s="161">
        <v>0.8</v>
      </c>
      <c r="F153" s="113">
        <f t="shared" si="44"/>
        <v>5.7722731273846151</v>
      </c>
      <c r="G153" s="114"/>
      <c r="H153" s="110">
        <v>5.76</v>
      </c>
      <c r="I153" s="111">
        <v>0.34175416666666669</v>
      </c>
      <c r="J153" s="110">
        <v>5.12</v>
      </c>
      <c r="K153" s="154">
        <f t="shared" si="45"/>
        <v>3.7273532472249999</v>
      </c>
      <c r="L153" s="114"/>
      <c r="M153" s="110"/>
      <c r="N153" s="115">
        <v>7</v>
      </c>
      <c r="O153" s="150">
        <f t="shared" si="50"/>
        <v>1.8041240000000001</v>
      </c>
      <c r="P153" s="116"/>
      <c r="Q153" s="115">
        <f t="shared" si="51"/>
        <v>0.56518751873048079</v>
      </c>
      <c r="R153" s="115">
        <f t="shared" si="52"/>
        <v>11.868937893340096</v>
      </c>
      <c r="S153" s="110">
        <v>0.8</v>
      </c>
      <c r="T153" s="115">
        <v>18</v>
      </c>
      <c r="U153" s="150">
        <f t="shared" si="53"/>
        <v>1.709127056640974</v>
      </c>
      <c r="V153" s="206">
        <f t="shared" si="33"/>
        <v>4.4307692307692312E-2</v>
      </c>
      <c r="AA153">
        <v>1873</v>
      </c>
      <c r="AB153">
        <v>0.30769230769230771</v>
      </c>
      <c r="AC153">
        <v>4.4307692307692312E-2</v>
      </c>
    </row>
    <row r="154" spans="1:29">
      <c r="A154" s="110">
        <v>1874</v>
      </c>
      <c r="B154" s="111">
        <v>8.82</v>
      </c>
      <c r="C154" s="109">
        <v>0.1462</v>
      </c>
      <c r="D154" s="112">
        <v>0.32820512820512826</v>
      </c>
      <c r="E154" s="161">
        <v>0.8</v>
      </c>
      <c r="F154" s="113">
        <f t="shared" si="44"/>
        <v>24.737886727076923</v>
      </c>
      <c r="G154" s="114"/>
      <c r="H154" s="110">
        <v>5.76</v>
      </c>
      <c r="I154" s="111">
        <v>0.34175416666666669</v>
      </c>
      <c r="J154" s="110">
        <v>5.12</v>
      </c>
      <c r="K154" s="154">
        <f t="shared" si="45"/>
        <v>3.7273532472249999</v>
      </c>
      <c r="L154" s="114"/>
      <c r="M154" s="110"/>
      <c r="N154" s="115">
        <v>6</v>
      </c>
      <c r="O154" s="150">
        <f t="shared" si="50"/>
        <v>1.546392</v>
      </c>
      <c r="P154" s="116"/>
      <c r="Q154" s="115">
        <f t="shared" si="51"/>
        <v>1.5005815987150963</v>
      </c>
      <c r="R154" s="115">
        <f t="shared" si="52"/>
        <v>31.512213573017021</v>
      </c>
      <c r="S154" s="110">
        <v>0.8</v>
      </c>
      <c r="T154" s="115">
        <v>18</v>
      </c>
      <c r="U154" s="150">
        <f t="shared" si="53"/>
        <v>4.5377587545144511</v>
      </c>
      <c r="V154" s="206">
        <f t="shared" si="33"/>
        <v>4.7261538461538473E-2</v>
      </c>
      <c r="AA154">
        <v>1874</v>
      </c>
      <c r="AB154">
        <v>0.32820512820512826</v>
      </c>
      <c r="AC154">
        <v>4.7261538461538473E-2</v>
      </c>
    </row>
    <row r="155" spans="1:29">
      <c r="A155" s="110">
        <v>1875</v>
      </c>
      <c r="B155" s="111">
        <v>8.82</v>
      </c>
      <c r="C155" s="109">
        <v>0.1376</v>
      </c>
      <c r="D155" s="112">
        <v>0.3025641025641026</v>
      </c>
      <c r="E155" s="161">
        <v>0.73</v>
      </c>
      <c r="F155" s="113">
        <f t="shared" si="44"/>
        <v>24.290398810461539</v>
      </c>
      <c r="G155" s="114"/>
      <c r="H155" s="110">
        <v>5.76</v>
      </c>
      <c r="I155" s="111">
        <v>0.34175416666666669</v>
      </c>
      <c r="J155" s="110">
        <v>4.6399999999999997</v>
      </c>
      <c r="K155" s="154">
        <f t="shared" si="45"/>
        <v>3.6892580472250001</v>
      </c>
      <c r="L155" s="114"/>
      <c r="M155" s="110"/>
      <c r="N155" s="115">
        <v>7</v>
      </c>
      <c r="O155" s="150">
        <f t="shared" si="50"/>
        <v>1.8041240000000001</v>
      </c>
      <c r="P155" s="116"/>
      <c r="Q155" s="115">
        <f t="shared" si="51"/>
        <v>1.4891890428843271</v>
      </c>
      <c r="R155" s="115">
        <f t="shared" si="52"/>
        <v>31.272969900570867</v>
      </c>
      <c r="S155" s="110">
        <v>0.8</v>
      </c>
      <c r="T155" s="115">
        <v>18</v>
      </c>
      <c r="U155" s="150">
        <f t="shared" si="53"/>
        <v>4.5033076656822049</v>
      </c>
      <c r="V155" s="206">
        <f t="shared" si="33"/>
        <v>4.3569230769230777E-2</v>
      </c>
      <c r="AA155">
        <v>1875</v>
      </c>
      <c r="AB155">
        <v>0.3025641025641026</v>
      </c>
      <c r="AC155">
        <v>4.3569230769230777E-2</v>
      </c>
    </row>
    <row r="156" spans="1:29">
      <c r="A156" s="110">
        <v>1876</v>
      </c>
      <c r="B156" s="111">
        <v>7.3500000000000005</v>
      </c>
      <c r="C156" s="109">
        <v>0.15909999999999999</v>
      </c>
      <c r="D156" s="112">
        <v>0.28717948717948716</v>
      </c>
      <c r="E156" s="161">
        <v>0.8</v>
      </c>
      <c r="F156" s="113">
        <f t="shared" si="44"/>
        <v>21.293127949692309</v>
      </c>
      <c r="G156" s="114"/>
      <c r="H156" s="110">
        <v>5.92</v>
      </c>
      <c r="I156" s="111">
        <v>0.34175416666666669</v>
      </c>
      <c r="J156" s="110">
        <v>5.44</v>
      </c>
      <c r="K156" s="154">
        <f t="shared" si="45"/>
        <v>3.7781468472250004</v>
      </c>
      <c r="L156" s="114"/>
      <c r="M156" s="110"/>
      <c r="N156" s="115"/>
      <c r="O156" s="109"/>
      <c r="P156" s="116"/>
      <c r="Q156" s="117"/>
      <c r="R156" s="110"/>
      <c r="S156" s="110"/>
      <c r="T156" s="110"/>
      <c r="U156" s="109"/>
      <c r="V156" s="206">
        <f>D156/10.33</f>
        <v>2.7800531188720924E-2</v>
      </c>
      <c r="AA156">
        <v>1876</v>
      </c>
      <c r="AB156">
        <v>0.28717948717948716</v>
      </c>
      <c r="AC156">
        <v>2.7800531188720924E-2</v>
      </c>
    </row>
    <row r="157" spans="1:29">
      <c r="A157" s="110">
        <v>1877</v>
      </c>
      <c r="B157" s="111">
        <v>7.3500000000000005</v>
      </c>
      <c r="C157" s="109">
        <v>0.1376</v>
      </c>
      <c r="D157" s="112">
        <v>0.28205128205128205</v>
      </c>
      <c r="E157" s="161">
        <v>0.75</v>
      </c>
      <c r="F157" s="113">
        <f t="shared" si="44"/>
        <v>20.94702629276923</v>
      </c>
      <c r="G157" s="114"/>
      <c r="H157" s="110">
        <v>6.08</v>
      </c>
      <c r="I157" s="111">
        <v>0.34175416666666669</v>
      </c>
      <c r="J157" s="110">
        <v>5.44</v>
      </c>
      <c r="K157" s="154">
        <f t="shared" si="45"/>
        <v>3.8035436472250002</v>
      </c>
      <c r="L157" s="114"/>
      <c r="M157" s="110"/>
      <c r="N157" s="115"/>
      <c r="O157" s="109"/>
      <c r="P157" s="116"/>
      <c r="Q157" s="117"/>
      <c r="R157" s="110"/>
      <c r="S157" s="110"/>
      <c r="T157" s="110"/>
      <c r="U157" s="109"/>
      <c r="V157" s="206">
        <f t="shared" ref="V157:V193" si="54">D157/10.33</f>
        <v>2.7304093131779481E-2</v>
      </c>
      <c r="AA157">
        <v>1877</v>
      </c>
      <c r="AB157">
        <v>0.28205128205128205</v>
      </c>
      <c r="AC157">
        <v>2.7304093131779481E-2</v>
      </c>
    </row>
    <row r="158" spans="1:29">
      <c r="A158" s="110">
        <v>1878</v>
      </c>
      <c r="B158" s="111">
        <v>7.3500000000000005</v>
      </c>
      <c r="C158" s="109">
        <v>0.1376</v>
      </c>
      <c r="D158" s="112">
        <v>0.30769230769230771</v>
      </c>
      <c r="E158" s="161">
        <v>0.8</v>
      </c>
      <c r="F158" s="113">
        <f t="shared" si="44"/>
        <v>21.281089177384615</v>
      </c>
      <c r="G158" s="114"/>
      <c r="H158" s="110">
        <v>6.24</v>
      </c>
      <c r="I158" s="111">
        <v>0.29293194444444443</v>
      </c>
      <c r="J158" s="110">
        <v>5.44</v>
      </c>
      <c r="K158" s="154">
        <f t="shared" si="45"/>
        <v>3.4851219574916668</v>
      </c>
      <c r="L158" s="114"/>
      <c r="M158" s="110"/>
      <c r="N158" s="115"/>
      <c r="O158" s="109"/>
      <c r="P158" s="116"/>
      <c r="Q158" s="117"/>
      <c r="R158" s="110"/>
      <c r="S158" s="110"/>
      <c r="T158" s="110"/>
      <c r="U158" s="109"/>
      <c r="V158" s="206">
        <f t="shared" si="54"/>
        <v>2.978628341648671E-2</v>
      </c>
      <c r="AA158">
        <v>1878</v>
      </c>
      <c r="AB158">
        <v>0.30769230769230771</v>
      </c>
      <c r="AC158">
        <v>2.978628341648671E-2</v>
      </c>
    </row>
    <row r="159" spans="1:29">
      <c r="A159" s="110">
        <v>1879</v>
      </c>
      <c r="B159" s="111">
        <v>8.82</v>
      </c>
      <c r="C159" s="109">
        <v>0.15909999999999999</v>
      </c>
      <c r="D159" s="112">
        <v>0.35897435897435898</v>
      </c>
      <c r="E159" s="161">
        <v>0.8</v>
      </c>
      <c r="F159" s="113">
        <f t="shared" si="44"/>
        <v>25.270438236615387</v>
      </c>
      <c r="G159" s="114"/>
      <c r="H159" s="110">
        <v>6.4</v>
      </c>
      <c r="I159" s="111">
        <v>0.29293194444444443</v>
      </c>
      <c r="J159" s="110">
        <v>5.44</v>
      </c>
      <c r="K159" s="154">
        <f t="shared" si="45"/>
        <v>3.510518757491667</v>
      </c>
      <c r="L159" s="114"/>
      <c r="M159" s="110"/>
      <c r="N159" s="115"/>
      <c r="O159" s="109"/>
      <c r="P159" s="116"/>
      <c r="Q159" s="117"/>
      <c r="R159" s="110"/>
      <c r="S159" s="110"/>
      <c r="T159" s="110"/>
      <c r="U159" s="109"/>
      <c r="V159" s="206">
        <f t="shared" si="54"/>
        <v>3.475066398590116E-2</v>
      </c>
      <c r="AA159">
        <v>1879</v>
      </c>
      <c r="AB159">
        <v>0.35897435897435898</v>
      </c>
      <c r="AC159">
        <v>3.475066398590116E-2</v>
      </c>
    </row>
    <row r="160" spans="1:29">
      <c r="A160" s="110">
        <v>1880</v>
      </c>
      <c r="B160" s="111">
        <v>11.76</v>
      </c>
      <c r="C160" s="109">
        <v>0.18059999999999998</v>
      </c>
      <c r="D160" s="112">
        <v>0.30769230769230771</v>
      </c>
      <c r="E160" s="161">
        <v>2.1</v>
      </c>
      <c r="F160" s="113">
        <f t="shared" si="44"/>
        <v>31.666323967384617</v>
      </c>
      <c r="G160" s="114"/>
      <c r="H160" s="110">
        <v>6.4</v>
      </c>
      <c r="I160" s="111">
        <v>0.29166666666666669</v>
      </c>
      <c r="J160" s="110">
        <v>5.44</v>
      </c>
      <c r="K160" s="154">
        <f t="shared" si="45"/>
        <v>3.5016083500000006</v>
      </c>
      <c r="L160" s="114"/>
      <c r="M160" s="110"/>
      <c r="N160" s="115"/>
      <c r="O160" s="109"/>
      <c r="P160" s="116"/>
      <c r="Q160" s="117"/>
      <c r="R160" s="110"/>
      <c r="S160" s="110"/>
      <c r="T160" s="110"/>
      <c r="U160" s="109"/>
      <c r="V160" s="206">
        <f t="shared" si="54"/>
        <v>2.978628341648671E-2</v>
      </c>
      <c r="AA160">
        <v>1880</v>
      </c>
      <c r="AB160">
        <v>0.30769230769230771</v>
      </c>
      <c r="AC160">
        <v>2.978628341648671E-2</v>
      </c>
    </row>
    <row r="161" spans="1:29">
      <c r="A161" s="110">
        <v>1881</v>
      </c>
      <c r="B161" s="111">
        <v>13.229999999999999</v>
      </c>
      <c r="C161" s="109">
        <v>0.18059999999999998</v>
      </c>
      <c r="D161" s="112">
        <v>0.32051282051282054</v>
      </c>
      <c r="E161" s="161">
        <v>1.2</v>
      </c>
      <c r="F161" s="113">
        <f t="shared" si="44"/>
        <v>34.539819869692302</v>
      </c>
      <c r="G161" s="114"/>
      <c r="H161" s="110">
        <v>6.4</v>
      </c>
      <c r="I161" s="111">
        <v>0.29166666666666669</v>
      </c>
      <c r="J161" s="110">
        <v>4.96</v>
      </c>
      <c r="K161" s="154">
        <f t="shared" si="45"/>
        <v>3.4635131500000003</v>
      </c>
      <c r="L161" s="114"/>
      <c r="M161" s="110"/>
      <c r="N161" s="115"/>
      <c r="O161" s="109"/>
      <c r="P161" s="116"/>
      <c r="Q161" s="117"/>
      <c r="R161" s="110"/>
      <c r="S161" s="110"/>
      <c r="T161" s="110"/>
      <c r="U161" s="109"/>
      <c r="V161" s="206">
        <f t="shared" si="54"/>
        <v>3.1027378558840323E-2</v>
      </c>
      <c r="AA161">
        <v>1881</v>
      </c>
      <c r="AB161">
        <v>0.32051282051282054</v>
      </c>
      <c r="AC161">
        <v>3.1027378558840323E-2</v>
      </c>
    </row>
    <row r="162" spans="1:29">
      <c r="A162" s="110">
        <v>1882</v>
      </c>
      <c r="B162" s="111">
        <v>10.290000000000001</v>
      </c>
      <c r="C162" s="109">
        <v>0.15909999999999999</v>
      </c>
      <c r="D162" s="112">
        <v>0.32051282051282054</v>
      </c>
      <c r="E162" s="161">
        <v>0.7</v>
      </c>
      <c r="F162" s="113">
        <f t="shared" si="44"/>
        <v>27.860423369692313</v>
      </c>
      <c r="G162" s="114"/>
      <c r="H162" s="110">
        <v>7.36</v>
      </c>
      <c r="I162" s="111">
        <v>0.27340277777777777</v>
      </c>
      <c r="J162" s="110">
        <v>5.44</v>
      </c>
      <c r="K162" s="154">
        <f t="shared" si="45"/>
        <v>3.5253702054166669</v>
      </c>
      <c r="L162" s="114"/>
      <c r="M162" s="110"/>
      <c r="N162" s="115"/>
      <c r="O162" s="109"/>
      <c r="P162" s="116"/>
      <c r="Q162" s="117"/>
      <c r="R162" s="110"/>
      <c r="S162" s="110"/>
      <c r="T162" s="110"/>
      <c r="U162" s="109"/>
      <c r="V162" s="206">
        <f t="shared" si="54"/>
        <v>3.1027378558840323E-2</v>
      </c>
      <c r="AA162">
        <v>1882</v>
      </c>
      <c r="AB162">
        <v>0.32051282051282054</v>
      </c>
      <c r="AC162">
        <v>3.1027378558840323E-2</v>
      </c>
    </row>
    <row r="163" spans="1:29">
      <c r="A163" s="110">
        <v>1883</v>
      </c>
      <c r="B163" s="111">
        <v>10.290000000000001</v>
      </c>
      <c r="C163" s="109">
        <v>0.16770000000000002</v>
      </c>
      <c r="D163" s="112">
        <v>0.32692307692307693</v>
      </c>
      <c r="E163" s="161">
        <v>0.9</v>
      </c>
      <c r="F163" s="113">
        <f t="shared" si="44"/>
        <v>28.128945247846158</v>
      </c>
      <c r="G163" s="114"/>
      <c r="H163" s="110">
        <v>7.52</v>
      </c>
      <c r="I163" s="111">
        <v>0.31246111111111113</v>
      </c>
      <c r="J163" s="110">
        <v>5.92</v>
      </c>
      <c r="K163" s="154">
        <f t="shared" si="45"/>
        <v>3.8639209095666671</v>
      </c>
      <c r="L163" s="114"/>
      <c r="M163" s="110"/>
      <c r="N163" s="115"/>
      <c r="O163" s="109"/>
      <c r="P163" s="116"/>
      <c r="Q163" s="117"/>
      <c r="R163" s="110"/>
      <c r="S163" s="110"/>
      <c r="T163" s="110"/>
      <c r="U163" s="109"/>
      <c r="V163" s="206">
        <f t="shared" si="54"/>
        <v>3.1647926130017129E-2</v>
      </c>
      <c r="AA163">
        <v>1883</v>
      </c>
      <c r="AB163">
        <v>0.32692307692307693</v>
      </c>
      <c r="AC163">
        <v>3.1647926130017129E-2</v>
      </c>
    </row>
    <row r="164" spans="1:29">
      <c r="A164" s="110">
        <v>1884</v>
      </c>
      <c r="B164" s="111">
        <v>8.82</v>
      </c>
      <c r="C164" s="109">
        <v>0.18059999999999998</v>
      </c>
      <c r="D164" s="112">
        <v>0.33333333333333331</v>
      </c>
      <c r="E164" s="161">
        <v>0.8</v>
      </c>
      <c r="F164" s="113">
        <f t="shared" si="44"/>
        <v>25.219937932000001</v>
      </c>
      <c r="G164" s="114"/>
      <c r="H164" s="110">
        <v>7.68</v>
      </c>
      <c r="I164" s="111">
        <v>0.34175416666666669</v>
      </c>
      <c r="J164" s="110">
        <v>6.24</v>
      </c>
      <c r="K164" s="154">
        <f t="shared" si="45"/>
        <v>4.1210036472250007</v>
      </c>
      <c r="L164" s="114"/>
      <c r="M164" s="110"/>
      <c r="N164" s="115"/>
      <c r="O164" s="109"/>
      <c r="P164" s="116"/>
      <c r="Q164" s="117"/>
      <c r="R164" s="110"/>
      <c r="S164" s="110"/>
      <c r="T164" s="110"/>
      <c r="U164" s="109"/>
      <c r="V164" s="206">
        <f t="shared" si="54"/>
        <v>3.2268473701193928E-2</v>
      </c>
      <c r="AA164">
        <v>1884</v>
      </c>
      <c r="AB164">
        <v>0.33333333333333331</v>
      </c>
      <c r="AC164">
        <v>3.2268473701193928E-2</v>
      </c>
    </row>
    <row r="165" spans="1:29">
      <c r="A165" s="110">
        <v>1885</v>
      </c>
      <c r="B165" s="111">
        <v>8.82</v>
      </c>
      <c r="C165" s="109">
        <v>0.15909999999999999</v>
      </c>
      <c r="D165" s="112">
        <v>0.30769230769230771</v>
      </c>
      <c r="E165" s="161">
        <v>0.383333333</v>
      </c>
      <c r="F165" s="113">
        <f t="shared" si="44"/>
        <v>24.466984967242169</v>
      </c>
      <c r="G165" s="114"/>
      <c r="H165" s="110">
        <v>6.72</v>
      </c>
      <c r="I165" s="111">
        <v>0.34175416666666669</v>
      </c>
      <c r="J165" s="110">
        <v>5.44</v>
      </c>
      <c r="K165" s="154">
        <f t="shared" si="45"/>
        <v>3.9051308472250001</v>
      </c>
      <c r="L165" s="114"/>
      <c r="M165" s="110"/>
      <c r="N165" s="115">
        <v>17.5</v>
      </c>
      <c r="O165" s="150">
        <f t="shared" ref="O165:O193" si="55">N165*0.257732</f>
        <v>4.5103100000000005</v>
      </c>
      <c r="P165" s="116"/>
      <c r="Q165" s="115">
        <f t="shared" ref="Q165:Q193" si="56">(F165+K165+O165)*0.05</f>
        <v>1.6441212907233584</v>
      </c>
      <c r="R165" s="115">
        <f t="shared" ref="R165:R193" si="57">F165+K165+O165+Q165</f>
        <v>34.526547105190531</v>
      </c>
      <c r="S165" s="110"/>
      <c r="T165" s="110"/>
      <c r="U165" s="109"/>
      <c r="V165" s="206">
        <f t="shared" si="54"/>
        <v>2.978628341648671E-2</v>
      </c>
      <c r="AA165">
        <v>1885</v>
      </c>
      <c r="AB165">
        <v>0.30769230769230771</v>
      </c>
      <c r="AC165">
        <v>2.978628341648671E-2</v>
      </c>
    </row>
    <row r="166" spans="1:29">
      <c r="A166" s="110">
        <v>1886</v>
      </c>
      <c r="B166" s="111">
        <v>7.3500000000000005</v>
      </c>
      <c r="C166" s="109">
        <v>0.1376</v>
      </c>
      <c r="D166" s="112">
        <v>0.28205128205128205</v>
      </c>
      <c r="E166" s="161">
        <v>0.33333333300000001</v>
      </c>
      <c r="F166" s="113">
        <f t="shared" si="44"/>
        <v>20.768963792626781</v>
      </c>
      <c r="G166" s="114"/>
      <c r="H166" s="110">
        <v>6.24</v>
      </c>
      <c r="I166" s="111">
        <v>0.34175416666666669</v>
      </c>
      <c r="J166" s="110">
        <v>5.44</v>
      </c>
      <c r="K166" s="154">
        <f t="shared" si="45"/>
        <v>3.8289404472250004</v>
      </c>
      <c r="L166" s="114"/>
      <c r="M166" s="110"/>
      <c r="N166" s="115">
        <v>16.75</v>
      </c>
      <c r="O166" s="150">
        <f t="shared" si="55"/>
        <v>4.3170109999999999</v>
      </c>
      <c r="P166" s="116"/>
      <c r="Q166" s="115">
        <f t="shared" si="56"/>
        <v>1.4457457619925893</v>
      </c>
      <c r="R166" s="115">
        <f t="shared" si="57"/>
        <v>30.360661001844374</v>
      </c>
      <c r="S166" s="110"/>
      <c r="T166" s="110"/>
      <c r="U166" s="109"/>
      <c r="V166" s="206">
        <f t="shared" si="54"/>
        <v>2.7304093131779481E-2</v>
      </c>
      <c r="AA166">
        <v>1886</v>
      </c>
      <c r="AB166">
        <v>0.28205128205128205</v>
      </c>
      <c r="AC166">
        <v>2.7304093131779481E-2</v>
      </c>
    </row>
    <row r="167" spans="1:29">
      <c r="A167" s="110">
        <v>1887</v>
      </c>
      <c r="B167" s="111">
        <v>5.88</v>
      </c>
      <c r="C167" s="109">
        <v>0.16770000000000002</v>
      </c>
      <c r="D167" s="112">
        <v>0.30769230769230771</v>
      </c>
      <c r="E167" s="161">
        <v>0.33333333300000001</v>
      </c>
      <c r="F167" s="113">
        <f t="shared" si="44"/>
        <v>18.346969079242168</v>
      </c>
      <c r="G167" s="114"/>
      <c r="H167" s="110">
        <v>5.6</v>
      </c>
      <c r="I167" s="111">
        <v>0.34175416666666669</v>
      </c>
      <c r="J167" s="110">
        <v>5.44</v>
      </c>
      <c r="K167" s="154">
        <f t="shared" si="45"/>
        <v>3.7273532472250004</v>
      </c>
      <c r="L167" s="114"/>
      <c r="M167" s="110"/>
      <c r="N167" s="115">
        <v>16</v>
      </c>
      <c r="O167" s="150">
        <f t="shared" si="55"/>
        <v>4.1237120000000003</v>
      </c>
      <c r="P167" s="116"/>
      <c r="Q167" s="115">
        <f t="shared" si="56"/>
        <v>1.3099017163233586</v>
      </c>
      <c r="R167" s="115">
        <f t="shared" si="57"/>
        <v>27.507936042790529</v>
      </c>
      <c r="S167" s="110"/>
      <c r="T167" s="110"/>
      <c r="U167" s="109"/>
      <c r="V167" s="206">
        <f t="shared" si="54"/>
        <v>2.978628341648671E-2</v>
      </c>
      <c r="AA167">
        <v>1887</v>
      </c>
      <c r="AB167">
        <v>0.30769230769230771</v>
      </c>
      <c r="AC167">
        <v>2.978628341648671E-2</v>
      </c>
    </row>
    <row r="168" spans="1:29">
      <c r="A168" s="110">
        <v>1888</v>
      </c>
      <c r="B168" s="111">
        <v>5.88</v>
      </c>
      <c r="C168" s="109">
        <v>0.1376</v>
      </c>
      <c r="D168" s="112">
        <v>0.34871794871794876</v>
      </c>
      <c r="E168" s="161">
        <v>0.3</v>
      </c>
      <c r="F168" s="113">
        <f t="shared" si="44"/>
        <v>18.465963582769234</v>
      </c>
      <c r="G168" s="114"/>
      <c r="H168" s="110">
        <v>5.44</v>
      </c>
      <c r="I168" s="111">
        <v>0.30269722222222223</v>
      </c>
      <c r="J168" s="110">
        <v>5.44</v>
      </c>
      <c r="K168" s="154">
        <f t="shared" si="45"/>
        <v>3.426907523983334</v>
      </c>
      <c r="L168" s="114"/>
      <c r="M168" s="110"/>
      <c r="N168" s="115">
        <v>16.5</v>
      </c>
      <c r="O168" s="150">
        <f t="shared" si="55"/>
        <v>4.2525780000000006</v>
      </c>
      <c r="P168" s="116"/>
      <c r="Q168" s="115">
        <f t="shared" si="56"/>
        <v>1.3072724553376285</v>
      </c>
      <c r="R168" s="115">
        <f t="shared" si="57"/>
        <v>27.452721562090197</v>
      </c>
      <c r="S168" s="110"/>
      <c r="T168" s="110"/>
      <c r="U168" s="109"/>
      <c r="V168" s="206">
        <f t="shared" si="54"/>
        <v>3.3757787872018274E-2</v>
      </c>
      <c r="AA168">
        <v>1888</v>
      </c>
      <c r="AB168">
        <v>0.34871794871794876</v>
      </c>
      <c r="AC168">
        <v>3.3757787872018274E-2</v>
      </c>
    </row>
    <row r="169" spans="1:29">
      <c r="A169" s="110">
        <v>1889</v>
      </c>
      <c r="B169" s="111">
        <v>7.3500000000000005</v>
      </c>
      <c r="C169" s="109">
        <v>0.15909999999999999</v>
      </c>
      <c r="D169" s="112">
        <v>0.33333333333333331</v>
      </c>
      <c r="E169" s="161">
        <v>0.3</v>
      </c>
      <c r="F169" s="113">
        <f t="shared" si="44"/>
        <v>21.642304642000003</v>
      </c>
      <c r="G169" s="114"/>
      <c r="H169" s="110">
        <v>5.6</v>
      </c>
      <c r="I169" s="111">
        <v>0.40034027777777775</v>
      </c>
      <c r="J169" s="110">
        <v>5.6</v>
      </c>
      <c r="K169" s="154">
        <f t="shared" si="45"/>
        <v>4.1526299225416663</v>
      </c>
      <c r="L169" s="114"/>
      <c r="M169" s="110"/>
      <c r="N169" s="115">
        <v>18</v>
      </c>
      <c r="O169" s="150">
        <f t="shared" si="55"/>
        <v>4.639176</v>
      </c>
      <c r="P169" s="116"/>
      <c r="Q169" s="115">
        <f t="shared" si="56"/>
        <v>1.5217055282270835</v>
      </c>
      <c r="R169" s="115">
        <f t="shared" si="57"/>
        <v>31.955816092768753</v>
      </c>
      <c r="S169" s="110"/>
      <c r="T169" s="110"/>
      <c r="U169" s="109"/>
      <c r="V169" s="206">
        <f t="shared" si="54"/>
        <v>3.2268473701193928E-2</v>
      </c>
      <c r="AA169">
        <v>1889</v>
      </c>
      <c r="AB169">
        <v>0.33333333333333331</v>
      </c>
      <c r="AC169">
        <v>3.2268473701193928E-2</v>
      </c>
    </row>
    <row r="170" spans="1:29">
      <c r="A170" s="110">
        <v>1890</v>
      </c>
      <c r="B170" s="111">
        <v>7.3500000000000005</v>
      </c>
      <c r="C170" s="109">
        <v>0.1462</v>
      </c>
      <c r="D170" s="112">
        <v>0.31282051282051293</v>
      </c>
      <c r="E170" s="161">
        <v>0.33333333300000001</v>
      </c>
      <c r="F170" s="113">
        <f t="shared" si="44"/>
        <v>21.249076286165245</v>
      </c>
      <c r="G170" s="114"/>
      <c r="H170" s="110">
        <v>5.6</v>
      </c>
      <c r="I170" s="111">
        <v>0.40034027777777775</v>
      </c>
      <c r="J170" s="110">
        <v>5.6</v>
      </c>
      <c r="K170" s="154">
        <f t="shared" si="45"/>
        <v>4.1526299225416663</v>
      </c>
      <c r="L170" s="114"/>
      <c r="M170" s="110"/>
      <c r="N170" s="115">
        <v>15.75</v>
      </c>
      <c r="O170" s="150">
        <f t="shared" si="55"/>
        <v>4.0592790000000001</v>
      </c>
      <c r="P170" s="116"/>
      <c r="Q170" s="115">
        <f t="shared" si="56"/>
        <v>1.4730492604353458</v>
      </c>
      <c r="R170" s="115">
        <f t="shared" si="57"/>
        <v>30.934034469142258</v>
      </c>
      <c r="S170" s="110"/>
      <c r="T170" s="110"/>
      <c r="U170" s="109"/>
      <c r="V170" s="206">
        <f t="shared" si="54"/>
        <v>3.0282721473428163E-2</v>
      </c>
      <c r="AA170">
        <v>1890</v>
      </c>
      <c r="AB170">
        <v>0.31282051282051293</v>
      </c>
      <c r="AC170">
        <v>3.0282721473428163E-2</v>
      </c>
    </row>
    <row r="171" spans="1:29">
      <c r="A171" s="110">
        <v>1891</v>
      </c>
      <c r="B171" s="111">
        <v>11.76</v>
      </c>
      <c r="C171" s="109">
        <v>0.1462</v>
      </c>
      <c r="D171" s="112">
        <v>0.32307692307692309</v>
      </c>
      <c r="E171" s="161">
        <v>0.28333333300000002</v>
      </c>
      <c r="F171" s="113">
        <f t="shared" si="44"/>
        <v>30.658076570011396</v>
      </c>
      <c r="G171" s="114"/>
      <c r="H171" s="110">
        <v>5.6</v>
      </c>
      <c r="I171" s="111">
        <v>0.40034027777777775</v>
      </c>
      <c r="J171" s="110">
        <v>5.6</v>
      </c>
      <c r="K171" s="154">
        <f t="shared" si="45"/>
        <v>4.1526299225416663</v>
      </c>
      <c r="L171" s="114"/>
      <c r="M171" s="110"/>
      <c r="N171" s="115">
        <v>12.5</v>
      </c>
      <c r="O171" s="150">
        <f t="shared" si="55"/>
        <v>3.2216500000000003</v>
      </c>
      <c r="P171" s="116"/>
      <c r="Q171" s="115">
        <f t="shared" si="56"/>
        <v>1.9016178246276532</v>
      </c>
      <c r="R171" s="115">
        <f t="shared" si="57"/>
        <v>39.933974317180713</v>
      </c>
      <c r="S171" s="110"/>
      <c r="T171" s="110"/>
      <c r="U171" s="109"/>
      <c r="V171" s="206">
        <f t="shared" si="54"/>
        <v>3.1275597587311042E-2</v>
      </c>
      <c r="AA171">
        <v>1891</v>
      </c>
      <c r="AB171">
        <v>0.32307692307692309</v>
      </c>
      <c r="AC171">
        <v>3.1275597587311042E-2</v>
      </c>
    </row>
    <row r="172" spans="1:29">
      <c r="A172" s="110">
        <v>1892</v>
      </c>
      <c r="B172" s="111">
        <v>11.76</v>
      </c>
      <c r="C172" s="109">
        <v>0.16339999999999999</v>
      </c>
      <c r="D172" s="112">
        <v>0.32307692307692309</v>
      </c>
      <c r="E172" s="161">
        <v>0.28333333300000002</v>
      </c>
      <c r="F172" s="113">
        <f t="shared" si="44"/>
        <v>30.867832634011396</v>
      </c>
      <c r="G172" s="114"/>
      <c r="H172" s="110">
        <v>6.24</v>
      </c>
      <c r="I172" s="111">
        <v>0.40034027777777775</v>
      </c>
      <c r="J172" s="110">
        <v>5.6</v>
      </c>
      <c r="K172" s="154">
        <f t="shared" si="45"/>
        <v>4.2542171225416663</v>
      </c>
      <c r="L172" s="114"/>
      <c r="M172" s="110"/>
      <c r="N172" s="115">
        <v>11.5</v>
      </c>
      <c r="O172" s="150">
        <f t="shared" si="55"/>
        <v>2.9639180000000001</v>
      </c>
      <c r="P172" s="116"/>
      <c r="Q172" s="115">
        <f t="shared" si="56"/>
        <v>1.9042983878276531</v>
      </c>
      <c r="R172" s="115">
        <f t="shared" si="57"/>
        <v>39.990266144380712</v>
      </c>
      <c r="S172" s="110"/>
      <c r="T172" s="110"/>
      <c r="U172" s="109"/>
      <c r="V172" s="206">
        <f t="shared" si="54"/>
        <v>3.1275597587311042E-2</v>
      </c>
      <c r="AA172">
        <v>1892</v>
      </c>
      <c r="AB172">
        <v>0.32307692307692309</v>
      </c>
      <c r="AC172">
        <v>3.1275597587311042E-2</v>
      </c>
    </row>
    <row r="173" spans="1:29">
      <c r="A173" s="110">
        <v>1893</v>
      </c>
      <c r="B173" s="111">
        <v>8.82</v>
      </c>
      <c r="C173" s="109">
        <v>0.1462</v>
      </c>
      <c r="D173" s="112">
        <v>0.32307692307692309</v>
      </c>
      <c r="E173" s="161">
        <v>0.26666666700000002</v>
      </c>
      <c r="F173" s="113">
        <f t="shared" si="44"/>
        <v>24.447427650296294</v>
      </c>
      <c r="G173" s="114"/>
      <c r="H173" s="110">
        <v>6.4</v>
      </c>
      <c r="I173" s="111">
        <v>0.40034027777777775</v>
      </c>
      <c r="J173" s="110">
        <v>4.32</v>
      </c>
      <c r="K173" s="154">
        <f t="shared" si="45"/>
        <v>4.1780267225416665</v>
      </c>
      <c r="L173" s="114"/>
      <c r="M173" s="110"/>
      <c r="N173" s="115">
        <v>16</v>
      </c>
      <c r="O173" s="150">
        <f t="shared" si="55"/>
        <v>4.1237120000000003</v>
      </c>
      <c r="P173" s="116"/>
      <c r="Q173" s="115">
        <f t="shared" si="56"/>
        <v>1.6374583186418983</v>
      </c>
      <c r="R173" s="115">
        <f t="shared" si="57"/>
        <v>34.386624691479859</v>
      </c>
      <c r="S173" s="110"/>
      <c r="T173" s="110"/>
      <c r="U173" s="109"/>
      <c r="V173" s="206">
        <f t="shared" si="54"/>
        <v>3.1275597587311042E-2</v>
      </c>
      <c r="AA173">
        <v>1893</v>
      </c>
      <c r="AB173">
        <v>0.32307692307692309</v>
      </c>
      <c r="AC173">
        <v>3.1275597587311042E-2</v>
      </c>
    </row>
    <row r="174" spans="1:29">
      <c r="A174" s="110">
        <v>1894</v>
      </c>
      <c r="B174" s="111">
        <v>5.88</v>
      </c>
      <c r="C174" s="109">
        <v>0.15049999999999999</v>
      </c>
      <c r="D174" s="112">
        <v>0.32307692307692309</v>
      </c>
      <c r="E174" s="161">
        <v>0.25</v>
      </c>
      <c r="F174" s="113">
        <f t="shared" si="44"/>
        <v>18.289217746153849</v>
      </c>
      <c r="G174" s="114"/>
      <c r="H174" s="110">
        <v>6.4</v>
      </c>
      <c r="I174" s="111">
        <v>0.40034027777777775</v>
      </c>
      <c r="J174" s="110">
        <v>4.6399999999999997</v>
      </c>
      <c r="K174" s="154">
        <f t="shared" si="45"/>
        <v>4.2034235225416667</v>
      </c>
      <c r="L174" s="114"/>
      <c r="M174" s="110"/>
      <c r="N174" s="115">
        <v>17.5</v>
      </c>
      <c r="O174" s="150">
        <f t="shared" si="55"/>
        <v>4.5103100000000005</v>
      </c>
      <c r="P174" s="116"/>
      <c r="Q174" s="115">
        <f t="shared" si="56"/>
        <v>1.3501475634347759</v>
      </c>
      <c r="R174" s="115">
        <f t="shared" si="57"/>
        <v>28.353098832130293</v>
      </c>
      <c r="S174" s="110"/>
      <c r="T174" s="110"/>
      <c r="U174" s="109"/>
      <c r="V174" s="206">
        <f t="shared" si="54"/>
        <v>3.1275597587311042E-2</v>
      </c>
      <c r="AA174">
        <v>1894</v>
      </c>
      <c r="AB174">
        <v>0.32307692307692309</v>
      </c>
      <c r="AC174">
        <v>3.1275597587311042E-2</v>
      </c>
    </row>
    <row r="175" spans="1:29">
      <c r="A175" s="110">
        <v>1895</v>
      </c>
      <c r="B175" s="111">
        <v>5.88</v>
      </c>
      <c r="C175" s="109">
        <v>0.1462</v>
      </c>
      <c r="D175" s="112">
        <v>0.34871794871794876</v>
      </c>
      <c r="E175" s="161">
        <v>0.25</v>
      </c>
      <c r="F175" s="113">
        <f t="shared" si="44"/>
        <v>18.549474114769232</v>
      </c>
      <c r="G175" s="114"/>
      <c r="H175" s="110">
        <v>6.4</v>
      </c>
      <c r="I175" s="111">
        <v>0.40034027777777775</v>
      </c>
      <c r="J175" s="110">
        <v>4.6399999999999997</v>
      </c>
      <c r="K175" s="154">
        <f t="shared" si="45"/>
        <v>4.2034235225416667</v>
      </c>
      <c r="L175" s="114"/>
      <c r="M175" s="110"/>
      <c r="N175" s="115">
        <v>16</v>
      </c>
      <c r="O175" s="150">
        <f t="shared" si="55"/>
        <v>4.1237120000000003</v>
      </c>
      <c r="P175" s="116"/>
      <c r="Q175" s="115">
        <f t="shared" si="56"/>
        <v>1.3438304818655451</v>
      </c>
      <c r="R175" s="115">
        <f t="shared" si="57"/>
        <v>28.220440119176445</v>
      </c>
      <c r="S175" s="110"/>
      <c r="T175" s="110"/>
      <c r="U175" s="109"/>
      <c r="V175" s="206">
        <f t="shared" si="54"/>
        <v>3.3757787872018274E-2</v>
      </c>
      <c r="AA175">
        <v>1895</v>
      </c>
      <c r="AB175">
        <v>0.34871794871794876</v>
      </c>
      <c r="AC175">
        <v>3.3757787872018274E-2</v>
      </c>
    </row>
    <row r="176" spans="1:29">
      <c r="A176" s="110">
        <v>1896</v>
      </c>
      <c r="B176" s="111">
        <v>5.88</v>
      </c>
      <c r="C176" s="109">
        <v>0.16770000000000002</v>
      </c>
      <c r="D176" s="112">
        <v>0.32307692307692309</v>
      </c>
      <c r="E176" s="161">
        <v>0.3</v>
      </c>
      <c r="F176" s="113">
        <f t="shared" si="44"/>
        <v>18.520341310153846</v>
      </c>
      <c r="G176" s="114"/>
      <c r="H176" s="110">
        <v>6.4</v>
      </c>
      <c r="I176" s="111">
        <v>0.40034027777777775</v>
      </c>
      <c r="J176" s="110">
        <v>4.6399999999999997</v>
      </c>
      <c r="K176" s="154">
        <f t="shared" si="45"/>
        <v>4.2034235225416667</v>
      </c>
      <c r="L176" s="114"/>
      <c r="M176" s="110"/>
      <c r="N176" s="115">
        <v>15.5</v>
      </c>
      <c r="O176" s="150">
        <f t="shared" si="55"/>
        <v>3.9948460000000003</v>
      </c>
      <c r="P176" s="116"/>
      <c r="Q176" s="115">
        <f t="shared" si="56"/>
        <v>1.3359305416347755</v>
      </c>
      <c r="R176" s="115">
        <f t="shared" si="57"/>
        <v>28.054541374330284</v>
      </c>
      <c r="S176" s="110"/>
      <c r="T176" s="110"/>
      <c r="U176" s="109">
        <f t="shared" ref="U176:U193" si="58">R176/1.33</f>
        <v>21.0936401310754</v>
      </c>
      <c r="V176" s="206">
        <f t="shared" si="54"/>
        <v>3.1275597587311042E-2</v>
      </c>
      <c r="AA176">
        <v>1896</v>
      </c>
      <c r="AB176">
        <v>0.32307692307692309</v>
      </c>
      <c r="AC176">
        <v>3.1275597587311042E-2</v>
      </c>
    </row>
    <row r="177" spans="1:29">
      <c r="A177" s="110">
        <v>1897</v>
      </c>
      <c r="B177" s="111">
        <v>7.3500000000000005</v>
      </c>
      <c r="C177" s="109">
        <v>0.1376</v>
      </c>
      <c r="D177" s="112">
        <v>0.32307692307692309</v>
      </c>
      <c r="E177" s="161">
        <v>0.3</v>
      </c>
      <c r="F177" s="113">
        <f t="shared" si="44"/>
        <v>21.255031408153847</v>
      </c>
      <c r="G177" s="114"/>
      <c r="H177" s="110">
        <v>6.4</v>
      </c>
      <c r="I177" s="111">
        <v>0.41498749999999995</v>
      </c>
      <c r="J177" s="110">
        <v>4.6399999999999997</v>
      </c>
      <c r="K177" s="154">
        <f t="shared" si="45"/>
        <v>4.306572981825</v>
      </c>
      <c r="L177" s="114"/>
      <c r="M177" s="110"/>
      <c r="N177" s="115">
        <v>14</v>
      </c>
      <c r="O177" s="150">
        <f t="shared" si="55"/>
        <v>3.6082480000000001</v>
      </c>
      <c r="P177" s="116"/>
      <c r="Q177" s="115">
        <f t="shared" si="56"/>
        <v>1.4584926194989425</v>
      </c>
      <c r="R177" s="115">
        <f t="shared" si="57"/>
        <v>30.62834500947779</v>
      </c>
      <c r="S177" s="110"/>
      <c r="T177" s="110"/>
      <c r="U177" s="109">
        <f t="shared" si="58"/>
        <v>23.028830834193826</v>
      </c>
      <c r="V177" s="206">
        <f t="shared" si="54"/>
        <v>3.1275597587311042E-2</v>
      </c>
      <c r="AA177">
        <v>1897</v>
      </c>
      <c r="AB177">
        <v>0.32307692307692309</v>
      </c>
      <c r="AC177">
        <v>3.1275597587311042E-2</v>
      </c>
    </row>
    <row r="178" spans="1:29">
      <c r="A178" s="110">
        <v>1898</v>
      </c>
      <c r="B178" s="111">
        <v>8.82</v>
      </c>
      <c r="C178" s="109">
        <v>0.15909999999999999</v>
      </c>
      <c r="D178" s="112">
        <v>0.33333333333333331</v>
      </c>
      <c r="E178" s="161">
        <v>0.4</v>
      </c>
      <c r="F178" s="113">
        <f t="shared" si="44"/>
        <v>24.786802852000005</v>
      </c>
      <c r="G178" s="114"/>
      <c r="H178" s="110">
        <v>6.4</v>
      </c>
      <c r="I178" s="111">
        <v>0.41498749999999995</v>
      </c>
      <c r="J178" s="110">
        <v>4.6399999999999997</v>
      </c>
      <c r="K178" s="154">
        <f t="shared" si="45"/>
        <v>4.306572981825</v>
      </c>
      <c r="L178" s="114"/>
      <c r="M178" s="110"/>
      <c r="N178" s="115">
        <v>14</v>
      </c>
      <c r="O178" s="150">
        <f t="shared" si="55"/>
        <v>3.6082480000000001</v>
      </c>
      <c r="P178" s="116"/>
      <c r="Q178" s="115">
        <f t="shared" si="56"/>
        <v>1.6350811916912502</v>
      </c>
      <c r="R178" s="115">
        <f t="shared" si="57"/>
        <v>34.336705025516252</v>
      </c>
      <c r="S178" s="110"/>
      <c r="T178" s="110"/>
      <c r="U178" s="109">
        <f t="shared" si="58"/>
        <v>25.817071447756579</v>
      </c>
      <c r="V178" s="206">
        <f t="shared" si="54"/>
        <v>3.2268473701193928E-2</v>
      </c>
      <c r="AA178">
        <v>1898</v>
      </c>
      <c r="AB178">
        <v>0.33333333333333331</v>
      </c>
      <c r="AC178">
        <v>3.2268473701193928E-2</v>
      </c>
    </row>
    <row r="179" spans="1:29">
      <c r="A179" s="110">
        <v>1899</v>
      </c>
      <c r="B179" s="111">
        <v>8.82</v>
      </c>
      <c r="C179" s="109">
        <v>0.15049999999999999</v>
      </c>
      <c r="D179" s="112">
        <v>0.33846153846153848</v>
      </c>
      <c r="E179" s="161">
        <v>0.35</v>
      </c>
      <c r="F179" s="113">
        <f t="shared" si="44"/>
        <v>24.723096396923079</v>
      </c>
      <c r="G179" s="114"/>
      <c r="H179" s="110">
        <v>6.4</v>
      </c>
      <c r="I179" s="111">
        <v>0.41666666666666669</v>
      </c>
      <c r="J179" s="110">
        <v>4.6399999999999997</v>
      </c>
      <c r="K179" s="154">
        <f t="shared" si="45"/>
        <v>4.3183981000000005</v>
      </c>
      <c r="L179" s="114"/>
      <c r="M179" s="110"/>
      <c r="N179" s="115">
        <v>15</v>
      </c>
      <c r="O179" s="150">
        <f t="shared" si="55"/>
        <v>3.8659800000000004</v>
      </c>
      <c r="P179" s="116"/>
      <c r="Q179" s="115">
        <f t="shared" si="56"/>
        <v>1.645373724846154</v>
      </c>
      <c r="R179" s="115">
        <f t="shared" si="57"/>
        <v>34.552848221769231</v>
      </c>
      <c r="S179" s="110"/>
      <c r="T179" s="110"/>
      <c r="U179" s="109">
        <f t="shared" si="58"/>
        <v>25.979585129149797</v>
      </c>
      <c r="V179" s="206">
        <f t="shared" si="54"/>
        <v>3.2764911758135382E-2</v>
      </c>
      <c r="AA179">
        <v>1899</v>
      </c>
      <c r="AB179">
        <v>0.33846153846153848</v>
      </c>
      <c r="AC179">
        <v>3.2764911758135382E-2</v>
      </c>
    </row>
    <row r="180" spans="1:29">
      <c r="A180" s="110">
        <v>1900</v>
      </c>
      <c r="B180" s="111">
        <v>7.3500000000000005</v>
      </c>
      <c r="C180" s="109">
        <v>0.1462</v>
      </c>
      <c r="D180" s="112">
        <v>0.33974358974358976</v>
      </c>
      <c r="E180" s="161">
        <v>0.35</v>
      </c>
      <c r="F180" s="113">
        <f t="shared" si="44"/>
        <v>21.584528940153849</v>
      </c>
      <c r="G180" s="114"/>
      <c r="H180" s="110">
        <v>6.4</v>
      </c>
      <c r="I180" s="111">
        <v>0.41498749999999995</v>
      </c>
      <c r="J180" s="110">
        <v>4.6399999999999997</v>
      </c>
      <c r="K180" s="154">
        <f t="shared" si="45"/>
        <v>4.306572981825</v>
      </c>
      <c r="L180" s="114"/>
      <c r="M180" s="110"/>
      <c r="N180" s="115">
        <v>16.75</v>
      </c>
      <c r="O180" s="150">
        <f t="shared" si="55"/>
        <v>4.3170109999999999</v>
      </c>
      <c r="P180" s="116"/>
      <c r="Q180" s="115">
        <f t="shared" si="56"/>
        <v>1.5104056460989426</v>
      </c>
      <c r="R180" s="115">
        <f t="shared" si="57"/>
        <v>31.718518568077791</v>
      </c>
      <c r="S180" s="110"/>
      <c r="T180" s="110"/>
      <c r="U180" s="109">
        <f t="shared" si="58"/>
        <v>23.848510201562249</v>
      </c>
      <c r="V180" s="206">
        <f t="shared" si="54"/>
        <v>3.2889021272370741E-2</v>
      </c>
      <c r="AA180">
        <v>1900</v>
      </c>
      <c r="AB180">
        <v>0.33974358974358976</v>
      </c>
      <c r="AC180">
        <v>3.2889021272370741E-2</v>
      </c>
    </row>
    <row r="181" spans="1:29">
      <c r="A181" s="110">
        <v>1901</v>
      </c>
      <c r="B181" s="111">
        <v>7.3500000000000005</v>
      </c>
      <c r="C181" s="109">
        <v>0.1419</v>
      </c>
      <c r="D181" s="112">
        <v>0.34102564102564104</v>
      </c>
      <c r="E181" s="161">
        <v>0.28000000000000003</v>
      </c>
      <c r="F181" s="113">
        <f t="shared" si="44"/>
        <v>21.517810193384619</v>
      </c>
      <c r="G181" s="114"/>
      <c r="H181" s="110">
        <v>6.4</v>
      </c>
      <c r="I181" s="111">
        <v>0.41498749999999995</v>
      </c>
      <c r="J181" s="110">
        <v>4.6399999999999997</v>
      </c>
      <c r="K181" s="154">
        <f t="shared" si="45"/>
        <v>4.306572981825</v>
      </c>
      <c r="L181" s="114"/>
      <c r="M181" s="110"/>
      <c r="N181" s="115">
        <v>17.25</v>
      </c>
      <c r="O181" s="150">
        <f t="shared" si="55"/>
        <v>4.4458770000000003</v>
      </c>
      <c r="P181" s="116"/>
      <c r="Q181" s="115">
        <f t="shared" si="56"/>
        <v>1.5135130087604809</v>
      </c>
      <c r="R181" s="115">
        <f t="shared" si="57"/>
        <v>31.783773183970098</v>
      </c>
      <c r="S181" s="110"/>
      <c r="T181" s="110"/>
      <c r="U181" s="109">
        <f t="shared" si="58"/>
        <v>23.897573822533907</v>
      </c>
      <c r="V181" s="206">
        <f t="shared" si="54"/>
        <v>3.3013130786606101E-2</v>
      </c>
      <c r="AA181">
        <v>1901</v>
      </c>
      <c r="AB181">
        <v>0.34102564102564104</v>
      </c>
      <c r="AC181">
        <v>3.3013130786606101E-2</v>
      </c>
    </row>
    <row r="182" spans="1:29">
      <c r="A182" s="110">
        <v>1902</v>
      </c>
      <c r="B182" s="111">
        <v>8.82</v>
      </c>
      <c r="C182" s="109">
        <v>0.15049999999999999</v>
      </c>
      <c r="D182" s="112">
        <v>0.35897435897435898</v>
      </c>
      <c r="E182" s="161">
        <v>0.28000000000000003</v>
      </c>
      <c r="F182" s="113">
        <f t="shared" si="44"/>
        <v>24.943338204615387</v>
      </c>
      <c r="G182" s="114"/>
      <c r="H182" s="110">
        <v>6.56</v>
      </c>
      <c r="I182" s="111">
        <v>0.41986944444444446</v>
      </c>
      <c r="J182" s="110">
        <v>4.6399999999999997</v>
      </c>
      <c r="K182" s="154">
        <f t="shared" si="45"/>
        <v>4.366349674616667</v>
      </c>
      <c r="L182" s="114"/>
      <c r="M182" s="110"/>
      <c r="N182" s="115">
        <v>16.75</v>
      </c>
      <c r="O182" s="150">
        <f t="shared" si="55"/>
        <v>4.3170109999999999</v>
      </c>
      <c r="P182" s="116"/>
      <c r="Q182" s="115">
        <f t="shared" si="56"/>
        <v>1.6813349439616028</v>
      </c>
      <c r="R182" s="115">
        <f t="shared" si="57"/>
        <v>35.308033823193654</v>
      </c>
      <c r="S182" s="110"/>
      <c r="T182" s="110"/>
      <c r="U182" s="109">
        <f t="shared" si="58"/>
        <v>26.547393852025301</v>
      </c>
      <c r="V182" s="206">
        <f t="shared" si="54"/>
        <v>3.475066398590116E-2</v>
      </c>
      <c r="AA182">
        <v>1902</v>
      </c>
      <c r="AB182">
        <v>0.35897435897435898</v>
      </c>
      <c r="AC182">
        <v>3.475066398590116E-2</v>
      </c>
    </row>
    <row r="183" spans="1:29">
      <c r="A183" s="110">
        <v>1903</v>
      </c>
      <c r="B183" s="111">
        <v>8.82</v>
      </c>
      <c r="C183" s="109">
        <v>0.16770000000000002</v>
      </c>
      <c r="D183" s="112">
        <v>0.37948717948717953</v>
      </c>
      <c r="E183" s="161">
        <v>0.28000000000000003</v>
      </c>
      <c r="F183" s="113">
        <f t="shared" si="44"/>
        <v>25.403250576307695</v>
      </c>
      <c r="G183" s="114"/>
      <c r="H183" s="110">
        <v>7.36</v>
      </c>
      <c r="I183" s="111">
        <v>0.41986944444444446</v>
      </c>
      <c r="J183" s="110">
        <v>4.6399999999999997</v>
      </c>
      <c r="K183" s="154">
        <f t="shared" si="45"/>
        <v>4.4933336746166672</v>
      </c>
      <c r="L183" s="114"/>
      <c r="M183" s="110"/>
      <c r="N183" s="115">
        <v>17.25</v>
      </c>
      <c r="O183" s="150">
        <f t="shared" si="55"/>
        <v>4.4458770000000003</v>
      </c>
      <c r="P183" s="116"/>
      <c r="Q183" s="115">
        <f t="shared" si="56"/>
        <v>1.7171230625462184</v>
      </c>
      <c r="R183" s="115">
        <f t="shared" si="57"/>
        <v>36.059584313470587</v>
      </c>
      <c r="S183" s="110"/>
      <c r="T183" s="110"/>
      <c r="U183" s="109">
        <f t="shared" si="58"/>
        <v>27.112469408624499</v>
      </c>
      <c r="V183" s="206">
        <f t="shared" si="54"/>
        <v>3.6736416213666946E-2</v>
      </c>
      <c r="AA183">
        <v>1903</v>
      </c>
      <c r="AB183">
        <v>0.37948717948717953</v>
      </c>
      <c r="AC183">
        <v>3.6736416213666946E-2</v>
      </c>
    </row>
    <row r="184" spans="1:29">
      <c r="A184" s="110">
        <v>1904</v>
      </c>
      <c r="B184" s="111">
        <v>8.82</v>
      </c>
      <c r="C184" s="109">
        <v>0.18059999999999998</v>
      </c>
      <c r="D184" s="112">
        <v>0.4</v>
      </c>
      <c r="E184" s="161">
        <v>0.28999999999999998</v>
      </c>
      <c r="F184" s="113">
        <f t="shared" si="44"/>
        <v>25.814997432000002</v>
      </c>
      <c r="G184" s="114"/>
      <c r="H184" s="110">
        <v>7.36</v>
      </c>
      <c r="I184" s="111">
        <v>0.41986944444444446</v>
      </c>
      <c r="J184" s="110">
        <v>4.6399999999999997</v>
      </c>
      <c r="K184" s="154">
        <f t="shared" si="45"/>
        <v>4.4933336746166672</v>
      </c>
      <c r="L184" s="114"/>
      <c r="M184" s="110"/>
      <c r="N184" s="115">
        <v>16.75</v>
      </c>
      <c r="O184" s="150">
        <f t="shared" si="55"/>
        <v>4.3170109999999999</v>
      </c>
      <c r="P184" s="116"/>
      <c r="Q184" s="115">
        <f t="shared" si="56"/>
        <v>1.7312671053308337</v>
      </c>
      <c r="R184" s="115">
        <f t="shared" si="57"/>
        <v>36.356609211947507</v>
      </c>
      <c r="S184" s="110"/>
      <c r="T184" s="110"/>
      <c r="U184" s="109">
        <f t="shared" si="58"/>
        <v>27.335796399960529</v>
      </c>
      <c r="V184" s="206">
        <f t="shared" si="54"/>
        <v>3.8722168441432725E-2</v>
      </c>
      <c r="AA184">
        <v>1904</v>
      </c>
      <c r="AB184">
        <v>0.4</v>
      </c>
      <c r="AC184">
        <v>3.8722168441432725E-2</v>
      </c>
    </row>
    <row r="185" spans="1:29">
      <c r="A185" s="110">
        <v>1905</v>
      </c>
      <c r="B185" s="111">
        <v>8.82</v>
      </c>
      <c r="C185" s="109">
        <v>0.17200000000000001</v>
      </c>
      <c r="D185" s="112">
        <v>0.4102564102564103</v>
      </c>
      <c r="E185" s="161">
        <v>0.3</v>
      </c>
      <c r="F185" s="113">
        <f t="shared" si="44"/>
        <v>25.839471053846157</v>
      </c>
      <c r="G185" s="114"/>
      <c r="H185" s="110">
        <v>7.36</v>
      </c>
      <c r="I185" s="111">
        <v>0.41986944444444446</v>
      </c>
      <c r="J185" s="110">
        <v>4.16</v>
      </c>
      <c r="K185" s="154">
        <f t="shared" si="45"/>
        <v>4.4552384746166673</v>
      </c>
      <c r="L185" s="114"/>
      <c r="M185" s="110"/>
      <c r="N185" s="115">
        <v>13</v>
      </c>
      <c r="O185" s="150">
        <f t="shared" si="55"/>
        <v>3.3505160000000003</v>
      </c>
      <c r="P185" s="116"/>
      <c r="Q185" s="115">
        <f t="shared" si="56"/>
        <v>1.6822612764231413</v>
      </c>
      <c r="R185" s="115">
        <f t="shared" si="57"/>
        <v>35.327486804885964</v>
      </c>
      <c r="S185" s="110"/>
      <c r="T185" s="110"/>
      <c r="U185" s="109">
        <f t="shared" si="58"/>
        <v>26.562020154049595</v>
      </c>
      <c r="V185" s="206">
        <f t="shared" si="54"/>
        <v>3.9715044555315611E-2</v>
      </c>
      <c r="AA185">
        <v>1905</v>
      </c>
      <c r="AB185">
        <v>0.4102564102564103</v>
      </c>
      <c r="AC185">
        <v>3.9715044555315611E-2</v>
      </c>
    </row>
    <row r="186" spans="1:29">
      <c r="A186" s="110">
        <v>1906</v>
      </c>
      <c r="B186" s="111">
        <v>10.290000000000001</v>
      </c>
      <c r="C186" s="109">
        <v>0.1978</v>
      </c>
      <c r="D186" s="112">
        <v>0.44102564102564112</v>
      </c>
      <c r="E186" s="161">
        <v>0.28000000000000003</v>
      </c>
      <c r="F186" s="113">
        <f t="shared" si="44"/>
        <v>29.622555821384619</v>
      </c>
      <c r="G186" s="114"/>
      <c r="H186" s="110">
        <v>7.36</v>
      </c>
      <c r="I186" s="111">
        <v>0.41986944444444446</v>
      </c>
      <c r="J186" s="110">
        <v>4.16</v>
      </c>
      <c r="K186" s="154">
        <f t="shared" si="45"/>
        <v>4.4552384746166673</v>
      </c>
      <c r="L186" s="114"/>
      <c r="M186" s="110"/>
      <c r="N186" s="115">
        <v>14.5</v>
      </c>
      <c r="O186" s="150">
        <f t="shared" si="55"/>
        <v>3.737114</v>
      </c>
      <c r="P186" s="116"/>
      <c r="Q186" s="115">
        <f t="shared" si="56"/>
        <v>1.8907454148000644</v>
      </c>
      <c r="R186" s="115">
        <f t="shared" si="57"/>
        <v>39.70565371080135</v>
      </c>
      <c r="S186" s="110"/>
      <c r="T186" s="110"/>
      <c r="U186" s="109">
        <f t="shared" si="58"/>
        <v>29.853874970527329</v>
      </c>
      <c r="V186" s="206">
        <f t="shared" si="54"/>
        <v>4.269367289696429E-2</v>
      </c>
      <c r="AA186">
        <v>1906</v>
      </c>
      <c r="AB186">
        <v>0.44102564102564112</v>
      </c>
      <c r="AC186">
        <v>4.269367289696429E-2</v>
      </c>
    </row>
    <row r="187" spans="1:29">
      <c r="A187" s="110">
        <v>1907</v>
      </c>
      <c r="B187" s="111">
        <v>14.700000000000001</v>
      </c>
      <c r="C187" s="109">
        <v>0.2064</v>
      </c>
      <c r="D187" s="112">
        <v>0.4</v>
      </c>
      <c r="E187" s="161">
        <v>0.28000000000000003</v>
      </c>
      <c r="F187" s="113">
        <f t="shared" si="44"/>
        <v>38.532410868000007</v>
      </c>
      <c r="G187" s="114"/>
      <c r="H187" s="110">
        <v>8.48</v>
      </c>
      <c r="I187" s="111">
        <v>0.41986944444444446</v>
      </c>
      <c r="J187" s="110">
        <v>4.8</v>
      </c>
      <c r="K187" s="154">
        <f t="shared" si="45"/>
        <v>4.6838096746166666</v>
      </c>
      <c r="L187" s="114"/>
      <c r="M187" s="110"/>
      <c r="N187" s="115">
        <v>17</v>
      </c>
      <c r="O187" s="150">
        <f t="shared" si="55"/>
        <v>4.3814440000000001</v>
      </c>
      <c r="P187" s="116"/>
      <c r="Q187" s="115">
        <f t="shared" si="56"/>
        <v>2.3798832271308341</v>
      </c>
      <c r="R187" s="115">
        <f t="shared" si="57"/>
        <v>49.97754776974751</v>
      </c>
      <c r="S187" s="110"/>
      <c r="T187" s="110"/>
      <c r="U187" s="109">
        <f t="shared" si="58"/>
        <v>37.577103586276323</v>
      </c>
      <c r="V187" s="206">
        <f t="shared" si="54"/>
        <v>3.8722168441432725E-2</v>
      </c>
      <c r="AA187">
        <v>1907</v>
      </c>
      <c r="AB187">
        <v>0.4</v>
      </c>
      <c r="AC187">
        <v>3.8722168441432725E-2</v>
      </c>
    </row>
    <row r="188" spans="1:29">
      <c r="A188" s="110">
        <v>1908</v>
      </c>
      <c r="B188" s="111">
        <v>14.700000000000001</v>
      </c>
      <c r="C188" s="109">
        <v>0.23650000000000002</v>
      </c>
      <c r="D188" s="112">
        <v>0.41794871794871796</v>
      </c>
      <c r="E188" s="161">
        <v>0.27</v>
      </c>
      <c r="F188" s="113">
        <f t="shared" si="44"/>
        <v>39.114097249230774</v>
      </c>
      <c r="G188" s="114"/>
      <c r="H188" s="110">
        <v>8.48</v>
      </c>
      <c r="I188" s="111">
        <v>0.41986944444444446</v>
      </c>
      <c r="J188" s="110">
        <v>4.96</v>
      </c>
      <c r="K188" s="154">
        <f t="shared" si="45"/>
        <v>4.6965080746166672</v>
      </c>
      <c r="L188" s="114"/>
      <c r="M188" s="110"/>
      <c r="N188" s="115">
        <v>17</v>
      </c>
      <c r="O188" s="150">
        <f t="shared" si="55"/>
        <v>4.3814440000000001</v>
      </c>
      <c r="P188" s="116"/>
      <c r="Q188" s="115">
        <f t="shared" si="56"/>
        <v>2.4096024661923723</v>
      </c>
      <c r="R188" s="115">
        <f t="shared" si="57"/>
        <v>50.601651790039817</v>
      </c>
      <c r="S188" s="110"/>
      <c r="T188" s="110"/>
      <c r="U188" s="109">
        <f t="shared" si="58"/>
        <v>38.046354729353247</v>
      </c>
      <c r="V188" s="206">
        <f t="shared" si="54"/>
        <v>4.0459701640727777E-2</v>
      </c>
      <c r="AA188">
        <v>1908</v>
      </c>
      <c r="AB188">
        <v>0.41794871794871796</v>
      </c>
      <c r="AC188">
        <v>4.0459701640727777E-2</v>
      </c>
    </row>
    <row r="189" spans="1:29">
      <c r="A189" s="110">
        <v>1909</v>
      </c>
      <c r="B189" s="111">
        <v>13.229999999999999</v>
      </c>
      <c r="C189" s="109">
        <v>0.21929999999999999</v>
      </c>
      <c r="D189" s="112">
        <v>0.41666666666666669</v>
      </c>
      <c r="E189" s="161">
        <v>0.32</v>
      </c>
      <c r="F189" s="113">
        <f t="shared" si="44"/>
        <v>35.808310706</v>
      </c>
      <c r="G189" s="114"/>
      <c r="H189" s="110">
        <v>8.48</v>
      </c>
      <c r="I189" s="111">
        <v>0.41986944444444446</v>
      </c>
      <c r="J189" s="110">
        <v>4.96</v>
      </c>
      <c r="K189" s="154">
        <f t="shared" si="45"/>
        <v>4.6965080746166672</v>
      </c>
      <c r="L189" s="114"/>
      <c r="M189" s="110"/>
      <c r="N189" s="115">
        <v>17</v>
      </c>
      <c r="O189" s="150">
        <f t="shared" si="55"/>
        <v>4.3814440000000001</v>
      </c>
      <c r="P189" s="116"/>
      <c r="Q189" s="115">
        <f t="shared" si="56"/>
        <v>2.2443131390308335</v>
      </c>
      <c r="R189" s="115">
        <f t="shared" si="57"/>
        <v>47.130575919647505</v>
      </c>
      <c r="S189" s="110"/>
      <c r="T189" s="110"/>
      <c r="U189" s="109">
        <f t="shared" si="58"/>
        <v>35.436523247855263</v>
      </c>
      <c r="V189" s="206">
        <f t="shared" si="54"/>
        <v>4.0335592126492417E-2</v>
      </c>
      <c r="AA189">
        <v>1909</v>
      </c>
      <c r="AB189">
        <v>0.41666666666666669</v>
      </c>
      <c r="AC189">
        <v>4.0335592126492417E-2</v>
      </c>
    </row>
    <row r="190" spans="1:29">
      <c r="A190" s="110">
        <v>1910</v>
      </c>
      <c r="B190" s="111">
        <v>10.290000000000001</v>
      </c>
      <c r="C190" s="109">
        <v>0.24080000000000001</v>
      </c>
      <c r="D190" s="112">
        <v>0.44871794871794868</v>
      </c>
      <c r="E190" s="161">
        <v>0.3</v>
      </c>
      <c r="F190" s="113">
        <f t="shared" si="44"/>
        <v>30.249301596769232</v>
      </c>
      <c r="G190" s="114"/>
      <c r="H190" s="110">
        <v>8.48</v>
      </c>
      <c r="I190" s="111">
        <v>0.41986944444444446</v>
      </c>
      <c r="J190" s="110">
        <v>4.96</v>
      </c>
      <c r="K190" s="154">
        <f t="shared" si="45"/>
        <v>4.6965080746166672</v>
      </c>
      <c r="L190" s="114"/>
      <c r="M190" s="110"/>
      <c r="N190" s="115">
        <v>17</v>
      </c>
      <c r="O190" s="150">
        <f t="shared" si="55"/>
        <v>4.3814440000000001</v>
      </c>
      <c r="P190" s="116"/>
      <c r="Q190" s="115">
        <f t="shared" si="56"/>
        <v>1.9663626835692953</v>
      </c>
      <c r="R190" s="115">
        <f t="shared" si="57"/>
        <v>41.293616354955198</v>
      </c>
      <c r="S190" s="110"/>
      <c r="T190" s="110"/>
      <c r="U190" s="109">
        <f t="shared" si="58"/>
        <v>31.047831845830974</v>
      </c>
      <c r="V190" s="206">
        <f t="shared" si="54"/>
        <v>4.3438329982376442E-2</v>
      </c>
      <c r="AA190">
        <v>1910</v>
      </c>
      <c r="AB190">
        <v>0.44871794871794868</v>
      </c>
      <c r="AC190">
        <v>4.3438329982376442E-2</v>
      </c>
    </row>
    <row r="191" spans="1:29">
      <c r="A191" s="110">
        <v>1911</v>
      </c>
      <c r="B191" s="111">
        <v>11.76</v>
      </c>
      <c r="C191" s="109">
        <v>0.24509999999999998</v>
      </c>
      <c r="D191" s="112">
        <v>0.44871794871794868</v>
      </c>
      <c r="E191" s="161">
        <v>0.28999999999999998</v>
      </c>
      <c r="F191" s="113">
        <f t="shared" si="44"/>
        <v>33.399230322769228</v>
      </c>
      <c r="G191" s="114"/>
      <c r="H191" s="110">
        <v>8.48</v>
      </c>
      <c r="I191" s="111">
        <v>0.41986944444444446</v>
      </c>
      <c r="J191" s="110">
        <v>4.96</v>
      </c>
      <c r="K191" s="154">
        <f t="shared" si="45"/>
        <v>4.6965080746166672</v>
      </c>
      <c r="L191" s="114"/>
      <c r="M191" s="110"/>
      <c r="N191" s="115">
        <v>16.5</v>
      </c>
      <c r="O191" s="150">
        <f t="shared" si="55"/>
        <v>4.2525780000000006</v>
      </c>
      <c r="P191" s="116"/>
      <c r="Q191" s="115">
        <f t="shared" si="56"/>
        <v>2.1174158198692949</v>
      </c>
      <c r="R191" s="115">
        <f t="shared" si="57"/>
        <v>44.465732217255187</v>
      </c>
      <c r="S191" s="110"/>
      <c r="T191" s="110"/>
      <c r="U191" s="109">
        <f t="shared" si="58"/>
        <v>33.432881366357279</v>
      </c>
      <c r="V191" s="206">
        <f t="shared" si="54"/>
        <v>4.3438329982376442E-2</v>
      </c>
      <c r="AA191">
        <v>1911</v>
      </c>
      <c r="AB191">
        <v>0.44871794871794868</v>
      </c>
      <c r="AC191">
        <v>4.3438329982376442E-2</v>
      </c>
    </row>
    <row r="192" spans="1:29">
      <c r="A192" s="110">
        <v>1912</v>
      </c>
      <c r="B192" s="111">
        <v>11.76</v>
      </c>
      <c r="C192" s="109">
        <v>0.23650000000000002</v>
      </c>
      <c r="D192" s="112">
        <v>0.4589743589743589</v>
      </c>
      <c r="E192" s="161">
        <v>0.28999999999999998</v>
      </c>
      <c r="F192" s="113">
        <f t="shared" si="44"/>
        <v>33.419430444615386</v>
      </c>
      <c r="G192" s="114"/>
      <c r="H192" s="110">
        <v>8.48</v>
      </c>
      <c r="I192" s="111">
        <v>0.41986944444444446</v>
      </c>
      <c r="J192" s="110">
        <v>6.56</v>
      </c>
      <c r="K192" s="154">
        <f t="shared" si="45"/>
        <v>4.8234920746166665</v>
      </c>
      <c r="L192" s="114"/>
      <c r="M192" s="110"/>
      <c r="N192" s="115">
        <v>20</v>
      </c>
      <c r="O192" s="150">
        <f t="shared" si="55"/>
        <v>5.1546400000000006</v>
      </c>
      <c r="P192" s="116"/>
      <c r="Q192" s="115">
        <f t="shared" si="56"/>
        <v>2.1698781259616027</v>
      </c>
      <c r="R192" s="115">
        <f t="shared" si="57"/>
        <v>45.567440645193656</v>
      </c>
      <c r="S192" s="110"/>
      <c r="T192" s="110"/>
      <c r="U192" s="109">
        <f t="shared" si="58"/>
        <v>34.261233567814777</v>
      </c>
      <c r="V192" s="206">
        <f t="shared" si="54"/>
        <v>4.4431206096259335E-2</v>
      </c>
      <c r="AA192">
        <v>1912</v>
      </c>
      <c r="AB192">
        <v>0.4589743589743589</v>
      </c>
      <c r="AC192">
        <v>4.4431206096259335E-2</v>
      </c>
    </row>
    <row r="193" spans="1:29">
      <c r="A193" s="110">
        <v>1913</v>
      </c>
      <c r="B193" s="111">
        <v>11.76</v>
      </c>
      <c r="C193" s="109">
        <v>0.24080000000000001</v>
      </c>
      <c r="D193" s="112">
        <v>0.45128205128205134</v>
      </c>
      <c r="E193" s="161">
        <v>0.28999999999999998</v>
      </c>
      <c r="F193" s="113">
        <f t="shared" si="44"/>
        <v>33.37806084523077</v>
      </c>
      <c r="G193" s="114"/>
      <c r="H193" s="110">
        <v>8.48</v>
      </c>
      <c r="I193" s="111">
        <v>0.41986944444444446</v>
      </c>
      <c r="J193" s="110">
        <v>6.88</v>
      </c>
      <c r="K193" s="154">
        <f t="shared" si="45"/>
        <v>4.8488888746166667</v>
      </c>
      <c r="L193" s="114"/>
      <c r="M193" s="110"/>
      <c r="N193" s="115">
        <v>19.5</v>
      </c>
      <c r="O193" s="150">
        <f t="shared" si="55"/>
        <v>5.0257740000000002</v>
      </c>
      <c r="P193" s="116"/>
      <c r="Q193" s="115">
        <f t="shared" si="56"/>
        <v>2.1626361859923722</v>
      </c>
      <c r="R193" s="115">
        <f t="shared" si="57"/>
        <v>45.415359905839807</v>
      </c>
      <c r="S193" s="110"/>
      <c r="T193" s="110"/>
      <c r="U193" s="109">
        <f t="shared" si="58"/>
        <v>34.146887147247973</v>
      </c>
      <c r="V193" s="206">
        <f t="shared" si="54"/>
        <v>4.3686549010847175E-2</v>
      </c>
      <c r="AA193">
        <v>1913</v>
      </c>
      <c r="AB193">
        <v>0.45128205128205134</v>
      </c>
      <c r="AC193">
        <v>4.3686549010847175E-2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E4D8-04A0-45BD-81B8-742BA342C782}">
  <sheetPr>
    <tabColor rgb="FFFFFF00"/>
  </sheetPr>
  <dimension ref="A1:AF311"/>
  <sheetViews>
    <sheetView workbookViewId="0">
      <selection activeCell="Q7" sqref="Q7"/>
    </sheetView>
  </sheetViews>
  <sheetFormatPr defaultRowHeight="14.25"/>
  <cols>
    <col min="2" max="2" width="13" customWidth="1"/>
    <col min="3" max="3" width="13" style="68" customWidth="1"/>
    <col min="4" max="4" width="13" style="178" customWidth="1"/>
    <col min="5" max="5" width="10.06640625" customWidth="1"/>
    <col min="6" max="6" width="10.06640625" style="68" customWidth="1"/>
    <col min="7" max="7" width="10.06640625" style="178" customWidth="1"/>
    <col min="8" max="9" width="10.06640625" customWidth="1"/>
    <col min="10" max="10" width="10.06640625" style="177" customWidth="1"/>
    <col min="11" max="11" width="10.06640625" customWidth="1"/>
    <col min="12" max="12" width="10.06640625" style="68" customWidth="1"/>
    <col min="13" max="13" width="10.06640625" style="177" customWidth="1"/>
    <col min="14" max="14" width="14.796875" style="70" customWidth="1"/>
    <col min="15" max="15" width="10.06640625" style="178" customWidth="1"/>
    <col min="16" max="16" width="10.06640625" customWidth="1"/>
    <col min="18" max="18" width="9.06640625" style="178"/>
  </cols>
  <sheetData>
    <row r="1" spans="1:18">
      <c r="A1" t="s">
        <v>769</v>
      </c>
      <c r="C1" s="68" t="s">
        <v>476</v>
      </c>
      <c r="D1" s="177"/>
      <c r="G1" s="177"/>
      <c r="N1" s="68"/>
      <c r="O1" s="177"/>
      <c r="R1" s="177"/>
    </row>
    <row r="2" spans="1:18" s="176" customFormat="1" ht="23.65">
      <c r="A2" s="179" t="s">
        <v>5</v>
      </c>
      <c r="B2" s="180" t="s">
        <v>465</v>
      </c>
      <c r="C2" s="180" t="s">
        <v>465</v>
      </c>
      <c r="D2" s="181" t="s">
        <v>465</v>
      </c>
      <c r="E2" s="180" t="s">
        <v>466</v>
      </c>
      <c r="F2" s="180" t="s">
        <v>466</v>
      </c>
      <c r="G2" s="181" t="s">
        <v>466</v>
      </c>
      <c r="H2" s="180" t="s">
        <v>467</v>
      </c>
      <c r="I2" s="180" t="s">
        <v>467</v>
      </c>
      <c r="J2" s="181" t="s">
        <v>467</v>
      </c>
      <c r="K2" s="180" t="s">
        <v>468</v>
      </c>
      <c r="L2" s="180" t="s">
        <v>468</v>
      </c>
      <c r="M2" s="181" t="s">
        <v>468</v>
      </c>
      <c r="N2" s="182" t="s">
        <v>558</v>
      </c>
      <c r="O2" s="183" t="s">
        <v>558</v>
      </c>
      <c r="P2" s="180" t="s">
        <v>469</v>
      </c>
      <c r="Q2" s="184" t="s">
        <v>771</v>
      </c>
      <c r="R2" s="185" t="s">
        <v>771</v>
      </c>
    </row>
    <row r="3" spans="1:18" s="176" customFormat="1">
      <c r="A3" s="179"/>
      <c r="B3" s="180" t="s">
        <v>473</v>
      </c>
      <c r="C3" s="186" t="s">
        <v>559</v>
      </c>
      <c r="D3" s="181" t="s">
        <v>559</v>
      </c>
      <c r="E3" s="180" t="s">
        <v>473</v>
      </c>
      <c r="F3" s="186" t="s">
        <v>559</v>
      </c>
      <c r="G3" s="181" t="s">
        <v>559</v>
      </c>
      <c r="H3" s="180" t="s">
        <v>473</v>
      </c>
      <c r="I3" s="186" t="s">
        <v>559</v>
      </c>
      <c r="J3" s="181" t="s">
        <v>559</v>
      </c>
      <c r="K3" s="180" t="s">
        <v>473</v>
      </c>
      <c r="L3" s="186" t="s">
        <v>559</v>
      </c>
      <c r="M3" s="181" t="s">
        <v>559</v>
      </c>
      <c r="N3" s="182" t="s">
        <v>559</v>
      </c>
      <c r="O3" s="183" t="s">
        <v>559</v>
      </c>
      <c r="P3" s="180" t="s">
        <v>473</v>
      </c>
      <c r="Q3" s="182" t="s">
        <v>559</v>
      </c>
      <c r="R3" s="183" t="s">
        <v>559</v>
      </c>
    </row>
    <row r="4" spans="1:18" s="176" customFormat="1">
      <c r="A4" s="179"/>
      <c r="B4" s="180"/>
      <c r="C4" s="186" t="s">
        <v>770</v>
      </c>
      <c r="D4" s="181" t="s">
        <v>588</v>
      </c>
      <c r="E4" s="180"/>
      <c r="F4" s="186" t="s">
        <v>770</v>
      </c>
      <c r="G4" s="181" t="s">
        <v>588</v>
      </c>
      <c r="H4" s="180"/>
      <c r="I4" s="186" t="s">
        <v>770</v>
      </c>
      <c r="J4" s="181" t="s">
        <v>588</v>
      </c>
      <c r="K4" s="180"/>
      <c r="L4" s="186" t="s">
        <v>770</v>
      </c>
      <c r="M4" s="181" t="s">
        <v>588</v>
      </c>
      <c r="N4" s="182" t="s">
        <v>770</v>
      </c>
      <c r="O4" s="183" t="s">
        <v>588</v>
      </c>
      <c r="P4" s="180"/>
      <c r="Q4" s="182" t="s">
        <v>770</v>
      </c>
      <c r="R4" s="183" t="s">
        <v>588</v>
      </c>
    </row>
    <row r="5" spans="1:18">
      <c r="A5" s="187">
        <v>1701</v>
      </c>
      <c r="B5" s="187"/>
      <c r="C5" s="188"/>
      <c r="D5" s="189"/>
      <c r="E5" s="187"/>
      <c r="F5" s="188"/>
      <c r="G5" s="189"/>
      <c r="H5" s="187"/>
      <c r="I5" s="188"/>
      <c r="J5" s="189"/>
      <c r="K5" s="187"/>
      <c r="L5" s="188"/>
      <c r="M5" s="189"/>
      <c r="N5" s="190"/>
      <c r="O5" s="191"/>
      <c r="P5" s="187">
        <v>1</v>
      </c>
      <c r="Q5" s="190">
        <v>0.06</v>
      </c>
      <c r="R5" s="191">
        <v>1.4832E-2</v>
      </c>
    </row>
    <row r="6" spans="1:18">
      <c r="A6" s="187">
        <v>1704</v>
      </c>
      <c r="B6" s="187"/>
      <c r="C6" s="188"/>
      <c r="D6" s="189"/>
      <c r="E6" s="187">
        <v>1</v>
      </c>
      <c r="F6" s="188">
        <v>0.02</v>
      </c>
      <c r="G6" s="189">
        <v>4.9439999999999996E-3</v>
      </c>
      <c r="H6" s="187"/>
      <c r="I6" s="188"/>
      <c r="J6" s="189"/>
      <c r="K6" s="187"/>
      <c r="L6" s="188"/>
      <c r="M6" s="189"/>
      <c r="N6" s="190">
        <v>0.02</v>
      </c>
      <c r="O6" s="191">
        <v>4.9440000000000005E-3</v>
      </c>
      <c r="P6" s="187"/>
      <c r="Q6" s="190"/>
      <c r="R6" s="191"/>
    </row>
    <row r="7" spans="1:18">
      <c r="A7" s="187">
        <v>1718</v>
      </c>
      <c r="B7" s="187">
        <v>1</v>
      </c>
      <c r="C7" s="188">
        <v>1.6E-2</v>
      </c>
      <c r="D7" s="189">
        <v>3.9344000000000002E-3</v>
      </c>
      <c r="E7" s="187">
        <v>1</v>
      </c>
      <c r="F7" s="188">
        <v>0.03</v>
      </c>
      <c r="G7" s="189">
        <v>7.3769999999999999E-3</v>
      </c>
      <c r="H7" s="187"/>
      <c r="I7" s="188"/>
      <c r="J7" s="189"/>
      <c r="K7" s="187"/>
      <c r="L7" s="188"/>
      <c r="M7" s="189"/>
      <c r="N7" s="190">
        <v>2.3E-2</v>
      </c>
      <c r="O7" s="191">
        <v>5.6557000000000005E-3</v>
      </c>
      <c r="P7" s="187"/>
      <c r="Q7" s="190"/>
      <c r="R7" s="191"/>
    </row>
    <row r="8" spans="1:18">
      <c r="A8" s="187">
        <v>1722</v>
      </c>
      <c r="B8" s="187"/>
      <c r="C8" s="188"/>
      <c r="D8" s="189"/>
      <c r="E8" s="187"/>
      <c r="F8" s="188"/>
      <c r="G8" s="189"/>
      <c r="H8" s="187"/>
      <c r="I8" s="188"/>
      <c r="J8" s="189"/>
      <c r="K8" s="187"/>
      <c r="L8" s="188"/>
      <c r="M8" s="189"/>
      <c r="N8" s="190"/>
      <c r="O8" s="191"/>
      <c r="P8" s="187">
        <v>2</v>
      </c>
      <c r="Q8" s="190">
        <v>2.5000000000000001E-2</v>
      </c>
      <c r="R8" s="191">
        <v>6.1475000000000002E-3</v>
      </c>
    </row>
    <row r="9" spans="1:18">
      <c r="A9" s="187">
        <v>1724</v>
      </c>
      <c r="B9" s="187"/>
      <c r="C9" s="188"/>
      <c r="D9" s="189"/>
      <c r="E9" s="187"/>
      <c r="F9" s="188"/>
      <c r="G9" s="189"/>
      <c r="H9" s="187"/>
      <c r="I9" s="188"/>
      <c r="J9" s="189"/>
      <c r="K9" s="187"/>
      <c r="L9" s="188"/>
      <c r="M9" s="189"/>
      <c r="N9" s="190"/>
      <c r="O9" s="191"/>
      <c r="P9" s="187">
        <v>2</v>
      </c>
      <c r="Q9" s="190">
        <v>4.4999999999999998E-2</v>
      </c>
      <c r="R9" s="191">
        <v>1.1065500000000001E-2</v>
      </c>
    </row>
    <row r="10" spans="1:18">
      <c r="A10" s="187">
        <v>1726</v>
      </c>
      <c r="B10" s="187"/>
      <c r="C10" s="188"/>
      <c r="D10" s="189"/>
      <c r="E10" s="187">
        <v>1</v>
      </c>
      <c r="F10" s="188">
        <v>0.1</v>
      </c>
      <c r="G10" s="189">
        <v>2.4590000000000001E-2</v>
      </c>
      <c r="H10" s="187"/>
      <c r="I10" s="188"/>
      <c r="J10" s="189"/>
      <c r="K10" s="187"/>
      <c r="L10" s="188"/>
      <c r="M10" s="189"/>
      <c r="N10" s="190">
        <v>0.1</v>
      </c>
      <c r="O10" s="191">
        <v>2.4590000000000001E-2</v>
      </c>
      <c r="P10" s="187"/>
      <c r="Q10" s="190"/>
      <c r="R10" s="191"/>
    </row>
    <row r="11" spans="1:18">
      <c r="A11" s="187">
        <v>1729</v>
      </c>
      <c r="B11" s="187"/>
      <c r="C11" s="188"/>
      <c r="D11" s="189"/>
      <c r="E11" s="187"/>
      <c r="F11" s="188"/>
      <c r="G11" s="189"/>
      <c r="H11" s="187"/>
      <c r="I11" s="188"/>
      <c r="J11" s="189"/>
      <c r="K11" s="187"/>
      <c r="L11" s="188"/>
      <c r="M11" s="189"/>
      <c r="N11" s="190"/>
      <c r="O11" s="191"/>
      <c r="P11" s="187">
        <v>1</v>
      </c>
      <c r="Q11" s="190">
        <v>1.6E-2</v>
      </c>
      <c r="R11" s="191">
        <v>3.9344000000000002E-3</v>
      </c>
    </row>
    <row r="12" spans="1:18">
      <c r="A12" s="187">
        <v>1730</v>
      </c>
      <c r="B12" s="187"/>
      <c r="C12" s="188"/>
      <c r="D12" s="189"/>
      <c r="E12" s="187"/>
      <c r="F12" s="188"/>
      <c r="G12" s="189"/>
      <c r="H12" s="187"/>
      <c r="I12" s="188"/>
      <c r="J12" s="189"/>
      <c r="K12" s="187"/>
      <c r="L12" s="188"/>
      <c r="M12" s="189"/>
      <c r="N12" s="190"/>
      <c r="O12" s="191"/>
      <c r="P12" s="187">
        <v>1</v>
      </c>
      <c r="Q12" s="190">
        <v>0.08</v>
      </c>
      <c r="R12" s="191">
        <v>1.9792000000000001E-2</v>
      </c>
    </row>
    <row r="13" spans="1:18">
      <c r="A13" s="187">
        <v>1731</v>
      </c>
      <c r="B13" s="187"/>
      <c r="C13" s="188"/>
      <c r="D13" s="189"/>
      <c r="E13" s="187"/>
      <c r="F13" s="188"/>
      <c r="G13" s="189"/>
      <c r="H13" s="187"/>
      <c r="I13" s="188"/>
      <c r="J13" s="189"/>
      <c r="K13" s="187"/>
      <c r="L13" s="188"/>
      <c r="M13" s="189"/>
      <c r="N13" s="190"/>
      <c r="O13" s="191"/>
      <c r="P13" s="187">
        <v>1</v>
      </c>
      <c r="Q13" s="190">
        <v>1.1999999999999999E-2</v>
      </c>
      <c r="R13" s="191">
        <v>2.9687999999999997E-3</v>
      </c>
    </row>
    <row r="14" spans="1:18">
      <c r="A14" s="187">
        <v>1734</v>
      </c>
      <c r="B14" s="187"/>
      <c r="C14" s="188"/>
      <c r="D14" s="189"/>
      <c r="E14" s="187"/>
      <c r="F14" s="188"/>
      <c r="G14" s="189"/>
      <c r="H14" s="187"/>
      <c r="I14" s="188"/>
      <c r="J14" s="189"/>
      <c r="K14" s="187"/>
      <c r="L14" s="188"/>
      <c r="M14" s="189"/>
      <c r="N14" s="190"/>
      <c r="O14" s="191"/>
      <c r="P14" s="187">
        <v>1</v>
      </c>
      <c r="Q14" s="190">
        <v>1.6666666666666666E-2</v>
      </c>
      <c r="R14" s="191">
        <v>4.123333333333333E-3</v>
      </c>
    </row>
    <row r="15" spans="1:18">
      <c r="A15" s="187">
        <v>1736</v>
      </c>
      <c r="B15" s="187"/>
      <c r="C15" s="188"/>
      <c r="D15" s="189"/>
      <c r="E15" s="187"/>
      <c r="F15" s="188"/>
      <c r="G15" s="189"/>
      <c r="H15" s="187"/>
      <c r="I15" s="188"/>
      <c r="J15" s="189"/>
      <c r="K15" s="187"/>
      <c r="L15" s="188"/>
      <c r="M15" s="189"/>
      <c r="N15" s="190"/>
      <c r="O15" s="191"/>
      <c r="P15" s="187">
        <v>2</v>
      </c>
      <c r="Q15" s="190">
        <v>5.0000000000000001E-3</v>
      </c>
      <c r="R15" s="191">
        <v>1.237E-3</v>
      </c>
    </row>
    <row r="16" spans="1:18">
      <c r="A16" s="187">
        <v>1737</v>
      </c>
      <c r="B16" s="187"/>
      <c r="C16" s="188"/>
      <c r="D16" s="189"/>
      <c r="E16" s="187"/>
      <c r="F16" s="188"/>
      <c r="G16" s="189"/>
      <c r="H16" s="187"/>
      <c r="I16" s="188"/>
      <c r="J16" s="189"/>
      <c r="K16" s="187">
        <v>1</v>
      </c>
      <c r="L16" s="188">
        <v>1.4545454545454545E-2</v>
      </c>
      <c r="M16" s="189">
        <v>3.5985454545454545E-3</v>
      </c>
      <c r="N16" s="190">
        <v>1.4545454545454545E-2</v>
      </c>
      <c r="O16" s="191">
        <v>3.5985454545454545E-3</v>
      </c>
      <c r="P16" s="187">
        <v>2</v>
      </c>
      <c r="Q16" s="190">
        <v>1.381818181818182E-2</v>
      </c>
      <c r="R16" s="191">
        <v>3.4186181818181825E-3</v>
      </c>
    </row>
    <row r="17" spans="1:18">
      <c r="A17" s="187">
        <v>1738</v>
      </c>
      <c r="B17" s="187"/>
      <c r="C17" s="188"/>
      <c r="D17" s="189"/>
      <c r="E17" s="187"/>
      <c r="F17" s="188"/>
      <c r="G17" s="189"/>
      <c r="H17" s="187"/>
      <c r="I17" s="188"/>
      <c r="J17" s="189"/>
      <c r="K17" s="187"/>
      <c r="L17" s="188"/>
      <c r="M17" s="189"/>
      <c r="N17" s="190"/>
      <c r="O17" s="191"/>
      <c r="P17" s="187">
        <v>2</v>
      </c>
      <c r="Q17" s="190">
        <v>3.833333333333333E-2</v>
      </c>
      <c r="R17" s="191">
        <v>9.4836666666666663E-3</v>
      </c>
    </row>
    <row r="18" spans="1:18">
      <c r="A18" s="187">
        <v>1739</v>
      </c>
      <c r="B18" s="187"/>
      <c r="C18" s="188"/>
      <c r="D18" s="189"/>
      <c r="E18" s="187"/>
      <c r="F18" s="188"/>
      <c r="G18" s="189"/>
      <c r="H18" s="187"/>
      <c r="I18" s="188"/>
      <c r="J18" s="189"/>
      <c r="K18" s="187"/>
      <c r="L18" s="188"/>
      <c r="M18" s="189"/>
      <c r="N18" s="190"/>
      <c r="O18" s="191"/>
      <c r="P18" s="187">
        <v>1</v>
      </c>
      <c r="Q18" s="190">
        <v>1.6666666666666666E-2</v>
      </c>
      <c r="R18" s="191">
        <v>4.123333333333333E-3</v>
      </c>
    </row>
    <row r="19" spans="1:18">
      <c r="A19" s="187">
        <v>1740</v>
      </c>
      <c r="B19" s="187"/>
      <c r="C19" s="188"/>
      <c r="D19" s="189"/>
      <c r="E19" s="187"/>
      <c r="F19" s="188"/>
      <c r="G19" s="189"/>
      <c r="H19" s="187"/>
      <c r="I19" s="188"/>
      <c r="J19" s="189"/>
      <c r="K19" s="187"/>
      <c r="L19" s="188"/>
      <c r="M19" s="189"/>
      <c r="N19" s="190"/>
      <c r="O19" s="191"/>
      <c r="P19" s="187">
        <v>1</v>
      </c>
      <c r="Q19" s="190">
        <v>1.3000000000000001E-2</v>
      </c>
      <c r="R19" s="191">
        <v>3.2162000000000002E-3</v>
      </c>
    </row>
    <row r="20" spans="1:18">
      <c r="A20" s="187">
        <v>1741</v>
      </c>
      <c r="B20" s="187"/>
      <c r="C20" s="188"/>
      <c r="D20" s="189"/>
      <c r="E20" s="187">
        <v>1</v>
      </c>
      <c r="F20" s="188">
        <v>0.12</v>
      </c>
      <c r="G20" s="189">
        <v>2.9687999999999999E-2</v>
      </c>
      <c r="H20" s="187"/>
      <c r="I20" s="188"/>
      <c r="J20" s="189"/>
      <c r="K20" s="187"/>
      <c r="L20" s="188"/>
      <c r="M20" s="189"/>
      <c r="N20" s="190">
        <v>0.12</v>
      </c>
      <c r="O20" s="191">
        <v>2.9687999999999999E-2</v>
      </c>
      <c r="P20" s="187"/>
      <c r="Q20" s="190"/>
      <c r="R20" s="191"/>
    </row>
    <row r="21" spans="1:18">
      <c r="A21" s="187">
        <v>1749</v>
      </c>
      <c r="B21" s="187">
        <v>2</v>
      </c>
      <c r="C21" s="188">
        <v>0.36085326086956526</v>
      </c>
      <c r="D21" s="189">
        <v>8.927509673913045E-2</v>
      </c>
      <c r="E21" s="187"/>
      <c r="F21" s="188"/>
      <c r="G21" s="189"/>
      <c r="H21" s="187"/>
      <c r="I21" s="188"/>
      <c r="J21" s="189"/>
      <c r="K21" s="187"/>
      <c r="L21" s="188"/>
      <c r="M21" s="189"/>
      <c r="N21" s="190">
        <v>0.36085326086956526</v>
      </c>
      <c r="O21" s="191">
        <v>8.927509673913045E-2</v>
      </c>
      <c r="P21" s="187"/>
      <c r="Q21" s="190"/>
      <c r="R21" s="191"/>
    </row>
    <row r="22" spans="1:18">
      <c r="A22" s="187">
        <v>1756</v>
      </c>
      <c r="B22" s="187"/>
      <c r="C22" s="188"/>
      <c r="D22" s="189"/>
      <c r="E22" s="187"/>
      <c r="F22" s="188"/>
      <c r="G22" s="189"/>
      <c r="H22" s="187"/>
      <c r="I22" s="188"/>
      <c r="J22" s="189"/>
      <c r="K22" s="187"/>
      <c r="L22" s="188"/>
      <c r="M22" s="189"/>
      <c r="N22" s="190"/>
      <c r="O22" s="191"/>
      <c r="P22" s="187">
        <v>1</v>
      </c>
      <c r="Q22" s="190">
        <v>0.02</v>
      </c>
      <c r="R22" s="191">
        <v>4.9480000000000001E-3</v>
      </c>
    </row>
    <row r="23" spans="1:18">
      <c r="A23" s="187">
        <v>1757</v>
      </c>
      <c r="B23" s="187"/>
      <c r="C23" s="188"/>
      <c r="D23" s="189"/>
      <c r="E23" s="187">
        <v>1</v>
      </c>
      <c r="F23" s="188">
        <v>0.15</v>
      </c>
      <c r="G23" s="189">
        <v>3.7109999999999997E-2</v>
      </c>
      <c r="H23" s="187"/>
      <c r="I23" s="188"/>
      <c r="J23" s="189"/>
      <c r="K23" s="187"/>
      <c r="L23" s="188"/>
      <c r="M23" s="189"/>
      <c r="N23" s="190">
        <v>0.15</v>
      </c>
      <c r="O23" s="191">
        <v>3.7109999999999997E-2</v>
      </c>
      <c r="P23" s="187"/>
      <c r="Q23" s="190"/>
      <c r="R23" s="191"/>
    </row>
    <row r="24" spans="1:18">
      <c r="A24" s="187">
        <v>1759</v>
      </c>
      <c r="B24" s="187"/>
      <c r="C24" s="188"/>
      <c r="D24" s="189"/>
      <c r="E24" s="187">
        <v>2</v>
      </c>
      <c r="F24" s="188">
        <v>0.24</v>
      </c>
      <c r="G24" s="189">
        <v>5.9375999999999998E-2</v>
      </c>
      <c r="H24" s="187"/>
      <c r="I24" s="188"/>
      <c r="J24" s="189"/>
      <c r="K24" s="187"/>
      <c r="L24" s="188"/>
      <c r="M24" s="189"/>
      <c r="N24" s="190">
        <v>0.24</v>
      </c>
      <c r="O24" s="191">
        <v>5.9375999999999998E-2</v>
      </c>
      <c r="P24" s="187"/>
      <c r="Q24" s="190"/>
      <c r="R24" s="191"/>
    </row>
    <row r="25" spans="1:18">
      <c r="A25" s="187">
        <v>1762</v>
      </c>
      <c r="B25" s="187"/>
      <c r="C25" s="188"/>
      <c r="D25" s="189"/>
      <c r="E25" s="187"/>
      <c r="F25" s="188"/>
      <c r="G25" s="189"/>
      <c r="H25" s="187"/>
      <c r="I25" s="188"/>
      <c r="J25" s="189"/>
      <c r="K25" s="187"/>
      <c r="L25" s="188"/>
      <c r="M25" s="189"/>
      <c r="N25" s="190"/>
      <c r="O25" s="191"/>
      <c r="P25" s="187">
        <v>1</v>
      </c>
      <c r="Q25" s="190">
        <v>0.04</v>
      </c>
      <c r="R25" s="191">
        <v>9.8960000000000003E-3</v>
      </c>
    </row>
    <row r="26" spans="1:18">
      <c r="A26" s="187">
        <v>1764</v>
      </c>
      <c r="B26" s="187"/>
      <c r="C26" s="188"/>
      <c r="D26" s="189"/>
      <c r="E26" s="187"/>
      <c r="F26" s="188"/>
      <c r="G26" s="189"/>
      <c r="H26" s="187">
        <v>1</v>
      </c>
      <c r="I26" s="188">
        <v>0.5714285714285714</v>
      </c>
      <c r="J26" s="189"/>
      <c r="K26" s="187"/>
      <c r="L26" s="188"/>
      <c r="M26" s="189"/>
      <c r="N26" s="190">
        <v>0.5714285714285714</v>
      </c>
      <c r="O26" s="191">
        <v>0.10285714285714284</v>
      </c>
      <c r="P26" s="187">
        <v>6</v>
      </c>
      <c r="Q26" s="190">
        <v>0.11333333333333333</v>
      </c>
      <c r="R26" s="191">
        <v>2.0399999999999998E-2</v>
      </c>
    </row>
    <row r="27" spans="1:18">
      <c r="A27" s="187">
        <v>1765</v>
      </c>
      <c r="B27" s="187"/>
      <c r="C27" s="188"/>
      <c r="D27" s="189"/>
      <c r="E27" s="187"/>
      <c r="F27" s="188"/>
      <c r="G27" s="189"/>
      <c r="H27" s="187"/>
      <c r="I27" s="188"/>
      <c r="J27" s="189"/>
      <c r="K27" s="187"/>
      <c r="L27" s="188"/>
      <c r="M27" s="189"/>
      <c r="N27" s="190"/>
      <c r="O27" s="191"/>
      <c r="P27" s="187"/>
      <c r="Q27" s="190"/>
      <c r="R27" s="191"/>
    </row>
    <row r="28" spans="1:18">
      <c r="A28" s="187">
        <v>1766</v>
      </c>
      <c r="B28" s="187"/>
      <c r="C28" s="188"/>
      <c r="D28" s="189"/>
      <c r="E28" s="187"/>
      <c r="F28" s="188"/>
      <c r="G28" s="189"/>
      <c r="H28" s="187"/>
      <c r="I28" s="188"/>
      <c r="J28" s="189"/>
      <c r="K28" s="187">
        <v>1</v>
      </c>
      <c r="L28" s="188">
        <v>0.25</v>
      </c>
      <c r="M28" s="189">
        <v>4.4999999999999998E-2</v>
      </c>
      <c r="N28" s="190">
        <v>0.25</v>
      </c>
      <c r="O28" s="191">
        <v>4.4999999999999998E-2</v>
      </c>
      <c r="P28" s="187"/>
      <c r="Q28" s="190"/>
      <c r="R28" s="191"/>
    </row>
    <row r="29" spans="1:18">
      <c r="A29" s="187">
        <v>1767</v>
      </c>
      <c r="B29" s="187"/>
      <c r="C29" s="188"/>
      <c r="D29" s="189"/>
      <c r="E29" s="187">
        <v>1</v>
      </c>
      <c r="F29" s="188">
        <v>0.16</v>
      </c>
      <c r="G29" s="189">
        <v>2.8799999999999999E-2</v>
      </c>
      <c r="H29" s="187"/>
      <c r="I29" s="188"/>
      <c r="J29" s="189"/>
      <c r="K29" s="187"/>
      <c r="L29" s="188"/>
      <c r="M29" s="189"/>
      <c r="N29" s="190">
        <v>0.16</v>
      </c>
      <c r="O29" s="191">
        <v>2.8799999999999999E-2</v>
      </c>
      <c r="P29" s="187">
        <v>1</v>
      </c>
      <c r="Q29" s="190">
        <v>0.05</v>
      </c>
      <c r="R29" s="191">
        <v>8.9999999999999993E-3</v>
      </c>
    </row>
    <row r="30" spans="1:18">
      <c r="A30" s="187">
        <v>1769</v>
      </c>
      <c r="B30" s="187"/>
      <c r="C30" s="188"/>
      <c r="D30" s="189"/>
      <c r="E30" s="187"/>
      <c r="F30" s="188"/>
      <c r="G30" s="189"/>
      <c r="H30" s="187"/>
      <c r="I30" s="188"/>
      <c r="J30" s="189"/>
      <c r="K30" s="187">
        <v>1</v>
      </c>
      <c r="L30" s="188">
        <v>7.0000000000000007E-2</v>
      </c>
      <c r="M30" s="189">
        <v>1.2475247524752476E-2</v>
      </c>
      <c r="N30" s="190">
        <v>7.0000000000000007E-2</v>
      </c>
      <c r="O30" s="191">
        <v>1.2475247524752476E-2</v>
      </c>
      <c r="P30" s="187">
        <v>1</v>
      </c>
      <c r="Q30" s="190">
        <v>0.05</v>
      </c>
      <c r="R30" s="191">
        <v>8.9108910891089101E-3</v>
      </c>
    </row>
    <row r="31" spans="1:18">
      <c r="A31" s="187">
        <v>1772</v>
      </c>
      <c r="B31" s="187"/>
      <c r="C31" s="188"/>
      <c r="D31" s="189"/>
      <c r="E31" s="187"/>
      <c r="F31" s="188"/>
      <c r="G31" s="189"/>
      <c r="H31" s="187"/>
      <c r="I31" s="188"/>
      <c r="J31" s="189"/>
      <c r="K31" s="187"/>
      <c r="L31" s="188"/>
      <c r="M31" s="189"/>
      <c r="N31" s="190"/>
      <c r="O31" s="191"/>
      <c r="P31" s="187">
        <v>1</v>
      </c>
      <c r="Q31" s="190">
        <v>0.08</v>
      </c>
      <c r="R31" s="191">
        <v>1.4117647058823528E-2</v>
      </c>
    </row>
    <row r="32" spans="1:18">
      <c r="A32" s="187">
        <v>1773</v>
      </c>
      <c r="B32" s="187"/>
      <c r="C32" s="188"/>
      <c r="D32" s="189"/>
      <c r="E32" s="187">
        <v>1</v>
      </c>
      <c r="F32" s="188">
        <v>0.26650000000000001</v>
      </c>
      <c r="G32" s="189">
        <v>4.7969999999999999E-2</v>
      </c>
      <c r="H32" s="187"/>
      <c r="I32" s="188"/>
      <c r="J32" s="189"/>
      <c r="K32" s="187"/>
      <c r="L32" s="188"/>
      <c r="M32" s="189"/>
      <c r="N32" s="190">
        <v>0.26650000000000001</v>
      </c>
      <c r="O32" s="191">
        <v>4.7969999999999999E-2</v>
      </c>
      <c r="P32" s="187"/>
      <c r="Q32" s="190"/>
      <c r="R32" s="191"/>
    </row>
    <row r="33" spans="1:18">
      <c r="A33" s="187">
        <v>1776</v>
      </c>
      <c r="B33" s="187"/>
      <c r="C33" s="188"/>
      <c r="D33" s="189"/>
      <c r="E33" s="187"/>
      <c r="F33" s="188"/>
      <c r="G33" s="189"/>
      <c r="H33" s="187"/>
      <c r="I33" s="188"/>
      <c r="J33" s="189"/>
      <c r="K33" s="187"/>
      <c r="L33" s="188"/>
      <c r="M33" s="189"/>
      <c r="N33" s="190"/>
      <c r="O33" s="191"/>
      <c r="P33" s="187">
        <v>1</v>
      </c>
      <c r="Q33" s="190">
        <v>0.2</v>
      </c>
      <c r="R33" s="191">
        <v>3.5643564356435641E-2</v>
      </c>
    </row>
    <row r="34" spans="1:18">
      <c r="A34" s="187">
        <v>1777</v>
      </c>
      <c r="B34" s="187"/>
      <c r="C34" s="188"/>
      <c r="D34" s="189"/>
      <c r="E34" s="187">
        <v>1</v>
      </c>
      <c r="F34" s="188">
        <v>0.45305000000000001</v>
      </c>
      <c r="G34" s="189">
        <v>8.0741584158415841E-2</v>
      </c>
      <c r="H34" s="187"/>
      <c r="I34" s="188"/>
      <c r="J34" s="189"/>
      <c r="K34" s="187">
        <v>1</v>
      </c>
      <c r="L34" s="188">
        <v>0.03</v>
      </c>
      <c r="M34" s="189">
        <v>5.3465346534653461E-3</v>
      </c>
      <c r="N34" s="190">
        <v>0.24152499999999999</v>
      </c>
      <c r="O34" s="191">
        <v>4.3044059405940589E-2</v>
      </c>
      <c r="P34" s="187">
        <v>3</v>
      </c>
      <c r="Q34" s="190">
        <v>0.17666666666666667</v>
      </c>
      <c r="R34" s="191">
        <v>3.1485148514851485E-2</v>
      </c>
    </row>
    <row r="35" spans="1:18">
      <c r="A35" s="187">
        <v>1778</v>
      </c>
      <c r="B35" s="187"/>
      <c r="C35" s="188"/>
      <c r="D35" s="189"/>
      <c r="E35" s="187">
        <v>1</v>
      </c>
      <c r="F35" s="188">
        <v>0.45305000000000001</v>
      </c>
      <c r="G35" s="189">
        <v>8.0741584158415841E-2</v>
      </c>
      <c r="H35" s="187"/>
      <c r="I35" s="188"/>
      <c r="J35" s="189"/>
      <c r="K35" s="187"/>
      <c r="L35" s="188"/>
      <c r="M35" s="189"/>
      <c r="N35" s="190">
        <v>0.45305000000000001</v>
      </c>
      <c r="O35" s="191">
        <v>8.0741584158415841E-2</v>
      </c>
      <c r="P35" s="187">
        <v>16</v>
      </c>
      <c r="Q35" s="190">
        <v>0.15846874999999996</v>
      </c>
      <c r="R35" s="191">
        <v>2.8241955445544545E-2</v>
      </c>
    </row>
    <row r="36" spans="1:18">
      <c r="A36" s="187">
        <v>1779</v>
      </c>
      <c r="B36" s="187"/>
      <c r="C36" s="188"/>
      <c r="D36" s="189"/>
      <c r="E36" s="187">
        <v>4</v>
      </c>
      <c r="F36" s="188">
        <v>0.36909999999999998</v>
      </c>
      <c r="G36" s="189">
        <v>6.5780198019801978E-2</v>
      </c>
      <c r="H36" s="187"/>
      <c r="I36" s="188"/>
      <c r="J36" s="189"/>
      <c r="K36" s="187">
        <v>6</v>
      </c>
      <c r="L36" s="188">
        <v>0.28833333333333333</v>
      </c>
      <c r="M36" s="189">
        <v>5.1386138613861383E-2</v>
      </c>
      <c r="N36" s="190">
        <v>0.32871666666666666</v>
      </c>
      <c r="O36" s="191">
        <v>5.8583168316831677E-2</v>
      </c>
      <c r="P36" s="187">
        <v>21</v>
      </c>
      <c r="Q36" s="190">
        <v>0.12999999999999998</v>
      </c>
      <c r="R36" s="191">
        <v>2.3168316831683165E-2</v>
      </c>
    </row>
    <row r="37" spans="1:18">
      <c r="A37" s="187">
        <v>1780</v>
      </c>
      <c r="B37" s="187"/>
      <c r="C37" s="188"/>
      <c r="D37" s="189"/>
      <c r="E37" s="187">
        <v>1</v>
      </c>
      <c r="F37" s="188">
        <v>0.44772000000000001</v>
      </c>
      <c r="G37" s="189">
        <v>7.9791683168316835E-2</v>
      </c>
      <c r="H37" s="187"/>
      <c r="I37" s="188"/>
      <c r="J37" s="189"/>
      <c r="K37" s="187">
        <v>3</v>
      </c>
      <c r="L37" s="188">
        <v>0.18333333333333335</v>
      </c>
      <c r="M37" s="189">
        <v>3.2673267326732675E-2</v>
      </c>
      <c r="N37" s="190">
        <v>0.31552666666666668</v>
      </c>
      <c r="O37" s="191">
        <v>5.6232475247524755E-2</v>
      </c>
      <c r="P37" s="187">
        <v>9</v>
      </c>
      <c r="Q37" s="190">
        <v>0.14466666666666667</v>
      </c>
      <c r="R37" s="191">
        <v>2.5782178217821781E-2</v>
      </c>
    </row>
    <row r="38" spans="1:18">
      <c r="A38" s="187">
        <v>1781</v>
      </c>
      <c r="B38" s="187"/>
      <c r="C38" s="188"/>
      <c r="D38" s="189"/>
      <c r="E38" s="187">
        <v>1</v>
      </c>
      <c r="F38" s="188">
        <v>0.44772000000000001</v>
      </c>
      <c r="G38" s="189">
        <v>7.9791683168316835E-2</v>
      </c>
      <c r="H38" s="187"/>
      <c r="I38" s="188"/>
      <c r="J38" s="189"/>
      <c r="K38" s="187"/>
      <c r="L38" s="188"/>
      <c r="M38" s="189"/>
      <c r="N38" s="190">
        <v>0.44772000000000001</v>
      </c>
      <c r="O38" s="191">
        <v>7.9791683168316835E-2</v>
      </c>
      <c r="P38" s="187"/>
      <c r="Q38" s="190"/>
      <c r="R38" s="191"/>
    </row>
    <row r="39" spans="1:18">
      <c r="A39" s="187">
        <v>1784</v>
      </c>
      <c r="B39" s="187"/>
      <c r="C39" s="188"/>
      <c r="D39" s="189"/>
      <c r="E39" s="187"/>
      <c r="F39" s="188"/>
      <c r="G39" s="189"/>
      <c r="H39" s="187"/>
      <c r="I39" s="188"/>
      <c r="J39" s="189"/>
      <c r="K39" s="187"/>
      <c r="L39" s="188"/>
      <c r="M39" s="189"/>
      <c r="N39" s="190"/>
      <c r="O39" s="191"/>
      <c r="P39" s="187">
        <v>6</v>
      </c>
      <c r="Q39" s="190">
        <v>0.14083333333333334</v>
      </c>
      <c r="R39" s="191">
        <v>2.4852941176470588E-2</v>
      </c>
    </row>
    <row r="40" spans="1:18">
      <c r="A40" s="187">
        <v>1785</v>
      </c>
      <c r="B40" s="187"/>
      <c r="C40" s="188"/>
      <c r="D40" s="189"/>
      <c r="E40" s="187"/>
      <c r="F40" s="188"/>
      <c r="G40" s="189"/>
      <c r="H40" s="187"/>
      <c r="I40" s="188"/>
      <c r="J40" s="189"/>
      <c r="K40" s="187"/>
      <c r="L40" s="188"/>
      <c r="M40" s="189"/>
      <c r="N40" s="190"/>
      <c r="O40" s="191"/>
      <c r="P40" s="187">
        <v>7</v>
      </c>
      <c r="Q40" s="190">
        <v>0.13571428571428573</v>
      </c>
      <c r="R40" s="191">
        <v>2.3949579831932771E-2</v>
      </c>
    </row>
    <row r="41" spans="1:18">
      <c r="A41" s="187">
        <v>1786</v>
      </c>
      <c r="B41" s="187"/>
      <c r="C41" s="188"/>
      <c r="D41" s="189"/>
      <c r="E41" s="187"/>
      <c r="F41" s="188"/>
      <c r="G41" s="189"/>
      <c r="H41" s="187"/>
      <c r="I41" s="188"/>
      <c r="J41" s="189"/>
      <c r="K41" s="187"/>
      <c r="L41" s="188"/>
      <c r="M41" s="189"/>
      <c r="N41" s="190"/>
      <c r="O41" s="191"/>
      <c r="P41" s="187">
        <v>2</v>
      </c>
      <c r="Q41" s="190">
        <v>0.1</v>
      </c>
      <c r="R41" s="191">
        <v>1.7475728155339806E-2</v>
      </c>
    </row>
    <row r="42" spans="1:18">
      <c r="A42" s="187">
        <v>1787</v>
      </c>
      <c r="B42" s="187"/>
      <c r="C42" s="188"/>
      <c r="D42" s="189"/>
      <c r="E42" s="187"/>
      <c r="F42" s="188"/>
      <c r="G42" s="189"/>
      <c r="H42" s="187"/>
      <c r="I42" s="188"/>
      <c r="J42" s="189"/>
      <c r="K42" s="187"/>
      <c r="L42" s="188"/>
      <c r="M42" s="189"/>
      <c r="N42" s="190"/>
      <c r="O42" s="191"/>
      <c r="P42" s="187">
        <v>3</v>
      </c>
      <c r="Q42" s="190">
        <v>0.18333333333333335</v>
      </c>
      <c r="R42" s="191">
        <v>3.0555555555555555E-2</v>
      </c>
    </row>
    <row r="43" spans="1:18">
      <c r="A43" s="187">
        <v>1788</v>
      </c>
      <c r="B43" s="187"/>
      <c r="C43" s="188"/>
      <c r="D43" s="189"/>
      <c r="E43" s="187"/>
      <c r="F43" s="188"/>
      <c r="G43" s="189"/>
      <c r="H43" s="187"/>
      <c r="I43" s="188"/>
      <c r="J43" s="189"/>
      <c r="K43" s="187"/>
      <c r="L43" s="188"/>
      <c r="M43" s="189"/>
      <c r="N43" s="190"/>
      <c r="O43" s="191"/>
      <c r="P43" s="187">
        <v>3</v>
      </c>
      <c r="Q43" s="190">
        <v>0.14083333333333334</v>
      </c>
      <c r="R43" s="191">
        <v>2.3256880733944951E-2</v>
      </c>
    </row>
    <row r="44" spans="1:18">
      <c r="A44" s="187">
        <v>1789</v>
      </c>
      <c r="B44" s="187"/>
      <c r="C44" s="188"/>
      <c r="D44" s="189"/>
      <c r="E44" s="187">
        <v>1</v>
      </c>
      <c r="F44" s="188">
        <v>0.25</v>
      </c>
      <c r="G44" s="189">
        <v>3.9130434782608699E-2</v>
      </c>
      <c r="H44" s="187"/>
      <c r="I44" s="188"/>
      <c r="J44" s="189"/>
      <c r="K44" s="187"/>
      <c r="L44" s="188"/>
      <c r="M44" s="189"/>
      <c r="N44" s="190">
        <v>0.25</v>
      </c>
      <c r="O44" s="191">
        <v>3.9130434782608699E-2</v>
      </c>
      <c r="P44" s="187">
        <v>2</v>
      </c>
      <c r="Q44" s="190">
        <v>0.16499999999999998</v>
      </c>
      <c r="R44" s="191">
        <v>2.5826086956521738E-2</v>
      </c>
    </row>
    <row r="45" spans="1:18">
      <c r="A45" s="187">
        <v>1790</v>
      </c>
      <c r="B45" s="187"/>
      <c r="C45" s="188"/>
      <c r="D45" s="189"/>
      <c r="E45" s="187"/>
      <c r="F45" s="188"/>
      <c r="G45" s="189"/>
      <c r="H45" s="187"/>
      <c r="I45" s="188"/>
      <c r="J45" s="189"/>
      <c r="K45" s="187">
        <v>6</v>
      </c>
      <c r="L45" s="188">
        <v>0.48333333333333339</v>
      </c>
      <c r="M45" s="189">
        <v>7.0731707317073178E-2</v>
      </c>
      <c r="N45" s="190">
        <v>0.48333333333333339</v>
      </c>
      <c r="O45" s="191">
        <v>7.0731707317073178E-2</v>
      </c>
      <c r="P45" s="187">
        <v>8</v>
      </c>
      <c r="Q45" s="190">
        <v>0.170375</v>
      </c>
      <c r="R45" s="191">
        <v>2.4932926829268291E-2</v>
      </c>
    </row>
    <row r="46" spans="1:18">
      <c r="A46" s="187">
        <v>1791</v>
      </c>
      <c r="B46" s="187"/>
      <c r="C46" s="188"/>
      <c r="D46" s="189"/>
      <c r="E46" s="187">
        <v>1</v>
      </c>
      <c r="F46" s="188">
        <v>0.40508000000000005</v>
      </c>
      <c r="G46" s="189">
        <v>5.7868571428571429E-2</v>
      </c>
      <c r="H46" s="187"/>
      <c r="I46" s="188"/>
      <c r="J46" s="189"/>
      <c r="K46" s="187"/>
      <c r="L46" s="188"/>
      <c r="M46" s="189"/>
      <c r="N46" s="190">
        <v>0.40508000000000005</v>
      </c>
      <c r="O46" s="191">
        <v>5.7868571428571429E-2</v>
      </c>
      <c r="P46" s="187"/>
      <c r="Q46" s="190"/>
      <c r="R46" s="191"/>
    </row>
    <row r="47" spans="1:18">
      <c r="A47" s="187">
        <v>1793</v>
      </c>
      <c r="B47" s="187"/>
      <c r="C47" s="188"/>
      <c r="D47" s="189"/>
      <c r="E47" s="187"/>
      <c r="F47" s="188"/>
      <c r="G47" s="189"/>
      <c r="H47" s="187"/>
      <c r="I47" s="188"/>
      <c r="J47" s="189"/>
      <c r="K47" s="187"/>
      <c r="L47" s="188"/>
      <c r="M47" s="189"/>
      <c r="N47" s="190"/>
      <c r="O47" s="191"/>
      <c r="P47" s="187">
        <v>3</v>
      </c>
      <c r="Q47" s="190">
        <v>0.11166666666666665</v>
      </c>
      <c r="R47" s="191">
        <v>1.4255319148936168E-2</v>
      </c>
    </row>
    <row r="48" spans="1:18">
      <c r="A48" s="187">
        <v>1794</v>
      </c>
      <c r="B48" s="187"/>
      <c r="C48" s="188"/>
      <c r="D48" s="189"/>
      <c r="E48" s="187">
        <v>3</v>
      </c>
      <c r="F48" s="188">
        <v>0.158</v>
      </c>
      <c r="G48" s="189">
        <v>1.9479452054794521E-2</v>
      </c>
      <c r="H48" s="187"/>
      <c r="I48" s="188"/>
      <c r="J48" s="189"/>
      <c r="K48" s="187">
        <v>2</v>
      </c>
      <c r="L48" s="188">
        <v>0.15</v>
      </c>
      <c r="M48" s="189">
        <v>1.8493150684931504E-2</v>
      </c>
      <c r="N48" s="190">
        <v>0.154</v>
      </c>
      <c r="O48" s="191">
        <v>1.8986301369863012E-2</v>
      </c>
      <c r="P48" s="187">
        <v>2</v>
      </c>
      <c r="Q48" s="190">
        <v>0.25</v>
      </c>
      <c r="R48" s="191">
        <v>3.0821917808219176E-2</v>
      </c>
    </row>
    <row r="49" spans="1:18">
      <c r="A49" s="187">
        <v>1795</v>
      </c>
      <c r="B49" s="187"/>
      <c r="C49" s="188"/>
      <c r="D49" s="189"/>
      <c r="E49" s="187">
        <v>3</v>
      </c>
      <c r="F49" s="188">
        <v>0.185</v>
      </c>
      <c r="G49" s="189">
        <v>2.3450704225352115E-2</v>
      </c>
      <c r="H49" s="187"/>
      <c r="I49" s="188"/>
      <c r="J49" s="189"/>
      <c r="K49" s="187"/>
      <c r="L49" s="188"/>
      <c r="M49" s="189"/>
      <c r="N49" s="190">
        <v>0.1</v>
      </c>
      <c r="O49" s="191">
        <v>1.2676056338028169E-2</v>
      </c>
      <c r="P49" s="187"/>
      <c r="Q49" s="190"/>
      <c r="R49" s="191"/>
    </row>
    <row r="50" spans="1:18">
      <c r="A50" s="187">
        <v>1796</v>
      </c>
      <c r="B50" s="187"/>
      <c r="C50" s="188"/>
      <c r="D50" s="189"/>
      <c r="E50" s="187">
        <v>1</v>
      </c>
      <c r="F50" s="188">
        <v>0.3</v>
      </c>
      <c r="G50" s="189">
        <v>4.2857142857142851E-2</v>
      </c>
      <c r="H50" s="187"/>
      <c r="I50" s="188"/>
      <c r="J50" s="189"/>
      <c r="K50" s="187">
        <v>1</v>
      </c>
      <c r="L50" s="188">
        <v>0.8</v>
      </c>
      <c r="M50" s="189">
        <v>0.11428571428571427</v>
      </c>
      <c r="N50" s="190">
        <v>0.55000000000000004</v>
      </c>
      <c r="O50" s="191">
        <v>7.857142857142857E-2</v>
      </c>
      <c r="P50" s="187">
        <v>1</v>
      </c>
      <c r="Q50" s="190">
        <v>0.25</v>
      </c>
      <c r="R50" s="191">
        <v>3.5714285714285712E-2</v>
      </c>
    </row>
    <row r="51" spans="1:18">
      <c r="A51" s="187">
        <v>1797</v>
      </c>
      <c r="B51" s="187"/>
      <c r="C51" s="188"/>
      <c r="D51" s="189"/>
      <c r="E51" s="187">
        <v>4</v>
      </c>
      <c r="F51" s="188">
        <v>0.23</v>
      </c>
      <c r="G51" s="189">
        <v>3.0218978102189781E-2</v>
      </c>
      <c r="H51" s="187"/>
      <c r="I51" s="188"/>
      <c r="J51" s="189"/>
      <c r="K51" s="187"/>
      <c r="L51" s="188"/>
      <c r="M51" s="189"/>
      <c r="N51" s="190">
        <v>0.23</v>
      </c>
      <c r="O51" s="191">
        <v>3.0218978102189781E-2</v>
      </c>
      <c r="P51" s="187"/>
      <c r="Q51" s="190"/>
      <c r="R51" s="191"/>
    </row>
    <row r="52" spans="1:18">
      <c r="A52" s="187">
        <v>1798</v>
      </c>
      <c r="B52" s="187"/>
      <c r="C52" s="188"/>
      <c r="D52" s="189"/>
      <c r="E52" s="187">
        <v>3</v>
      </c>
      <c r="F52" s="188">
        <v>0.15</v>
      </c>
      <c r="G52" s="189">
        <v>1.7880794701986755E-2</v>
      </c>
      <c r="H52" s="187"/>
      <c r="I52" s="188"/>
      <c r="J52" s="189"/>
      <c r="K52" s="187"/>
      <c r="L52" s="188"/>
      <c r="M52" s="189"/>
      <c r="N52" s="190">
        <v>0.15</v>
      </c>
      <c r="O52" s="191">
        <v>1.7880794701986755E-2</v>
      </c>
      <c r="P52" s="187">
        <v>1</v>
      </c>
      <c r="Q52" s="190">
        <v>0.1</v>
      </c>
      <c r="R52" s="191">
        <v>1.1920529801324504E-2</v>
      </c>
    </row>
    <row r="53" spans="1:18">
      <c r="A53" s="187">
        <v>1800</v>
      </c>
      <c r="B53" s="187"/>
      <c r="C53" s="188"/>
      <c r="D53" s="189"/>
      <c r="E53" s="187">
        <v>1</v>
      </c>
      <c r="F53" s="188">
        <v>0.60761999999999994</v>
      </c>
      <c r="G53" s="189">
        <v>7.2431523178807938E-2</v>
      </c>
      <c r="H53" s="187"/>
      <c r="I53" s="188"/>
      <c r="J53" s="189"/>
      <c r="K53" s="187"/>
      <c r="L53" s="188"/>
      <c r="M53" s="189"/>
      <c r="N53" s="190">
        <v>0.60761999999999994</v>
      </c>
      <c r="O53" s="191">
        <v>7.2431523178807938E-2</v>
      </c>
      <c r="P53" s="187">
        <v>8</v>
      </c>
      <c r="Q53" s="190">
        <v>0.22750000000000004</v>
      </c>
      <c r="R53" s="191">
        <v>2.7119205298013253E-2</v>
      </c>
    </row>
    <row r="54" spans="1:18">
      <c r="A54" s="187">
        <v>1801</v>
      </c>
      <c r="B54" s="187"/>
      <c r="C54" s="188"/>
      <c r="D54" s="189"/>
      <c r="E54" s="187"/>
      <c r="F54" s="188"/>
      <c r="G54" s="189"/>
      <c r="H54" s="187"/>
      <c r="I54" s="188"/>
      <c r="J54" s="189"/>
      <c r="K54" s="187"/>
      <c r="L54" s="188"/>
      <c r="M54" s="189"/>
      <c r="N54" s="190"/>
      <c r="O54" s="191"/>
      <c r="P54" s="187"/>
      <c r="Q54" s="190"/>
      <c r="R54" s="191"/>
    </row>
    <row r="55" spans="1:18">
      <c r="A55" s="187">
        <v>1802</v>
      </c>
      <c r="B55" s="187"/>
      <c r="C55" s="188"/>
      <c r="D55" s="189"/>
      <c r="E55" s="187"/>
      <c r="F55" s="188"/>
      <c r="G55" s="189"/>
      <c r="H55" s="187"/>
      <c r="I55" s="188"/>
      <c r="J55" s="189"/>
      <c r="K55" s="187"/>
      <c r="L55" s="188"/>
      <c r="M55" s="189"/>
      <c r="N55" s="190"/>
      <c r="O55" s="191"/>
      <c r="P55" s="187"/>
      <c r="Q55" s="190"/>
      <c r="R55" s="191"/>
    </row>
    <row r="56" spans="1:18">
      <c r="A56" s="187">
        <v>1803</v>
      </c>
      <c r="B56" s="187"/>
      <c r="C56" s="188"/>
      <c r="D56" s="189"/>
      <c r="E56" s="187"/>
      <c r="F56" s="188"/>
      <c r="G56" s="189"/>
      <c r="H56" s="187"/>
      <c r="I56" s="188"/>
      <c r="J56" s="189"/>
      <c r="K56" s="187"/>
      <c r="L56" s="188"/>
      <c r="M56" s="189"/>
      <c r="N56" s="190"/>
      <c r="O56" s="191"/>
      <c r="P56" s="187"/>
      <c r="Q56" s="190"/>
      <c r="R56" s="191"/>
    </row>
    <row r="57" spans="1:18">
      <c r="A57" s="187">
        <v>1804</v>
      </c>
      <c r="B57" s="187"/>
      <c r="C57" s="188"/>
      <c r="D57" s="189"/>
      <c r="E57" s="187"/>
      <c r="F57" s="188"/>
      <c r="G57" s="189"/>
      <c r="H57" s="187"/>
      <c r="I57" s="188"/>
      <c r="J57" s="189"/>
      <c r="K57" s="187"/>
      <c r="L57" s="188"/>
      <c r="M57" s="189"/>
      <c r="N57" s="190"/>
      <c r="O57" s="191"/>
      <c r="P57" s="187"/>
      <c r="Q57" s="190"/>
      <c r="R57" s="191"/>
    </row>
    <row r="58" spans="1:18">
      <c r="A58" s="187">
        <v>1805</v>
      </c>
      <c r="B58" s="187"/>
      <c r="C58" s="188"/>
      <c r="D58" s="189"/>
      <c r="E58" s="187"/>
      <c r="F58" s="188"/>
      <c r="G58" s="189"/>
      <c r="H58" s="187"/>
      <c r="I58" s="188"/>
      <c r="J58" s="189"/>
      <c r="K58" s="187"/>
      <c r="L58" s="188"/>
      <c r="M58" s="189"/>
      <c r="N58" s="190"/>
      <c r="O58" s="191"/>
      <c r="P58" s="187"/>
      <c r="Q58" s="190"/>
      <c r="R58" s="191"/>
    </row>
    <row r="59" spans="1:18">
      <c r="A59" s="187">
        <v>1806</v>
      </c>
      <c r="B59" s="187"/>
      <c r="C59" s="188"/>
      <c r="D59" s="189"/>
      <c r="E59" s="187"/>
      <c r="F59" s="188"/>
      <c r="G59" s="189"/>
      <c r="H59" s="187"/>
      <c r="I59" s="188"/>
      <c r="J59" s="189"/>
      <c r="K59" s="187">
        <v>1</v>
      </c>
      <c r="L59" s="188">
        <v>0.55000000000000004</v>
      </c>
      <c r="M59" s="189">
        <v>6.6442953020134227E-2</v>
      </c>
      <c r="N59" s="190">
        <v>0.55000000000000004</v>
      </c>
      <c r="O59" s="191">
        <v>6.6442953020134227E-2</v>
      </c>
      <c r="P59" s="187"/>
      <c r="Q59" s="190">
        <v>0.4</v>
      </c>
      <c r="R59" s="191">
        <v>4.832214765100671E-2</v>
      </c>
    </row>
    <row r="60" spans="1:18">
      <c r="A60" s="187">
        <v>1807</v>
      </c>
      <c r="B60" s="187"/>
      <c r="C60" s="188"/>
      <c r="D60" s="189"/>
      <c r="E60" s="187"/>
      <c r="F60" s="188"/>
      <c r="G60" s="189"/>
      <c r="H60" s="187"/>
      <c r="I60" s="188"/>
      <c r="J60" s="189"/>
      <c r="K60" s="187"/>
      <c r="L60" s="188"/>
      <c r="M60" s="189"/>
      <c r="N60" s="190"/>
      <c r="O60" s="191"/>
      <c r="P60" s="187"/>
      <c r="Q60" s="190"/>
      <c r="R60" s="191"/>
    </row>
    <row r="61" spans="1:18">
      <c r="A61" s="187">
        <v>1808</v>
      </c>
      <c r="B61" s="187"/>
      <c r="C61" s="188"/>
      <c r="D61" s="189"/>
      <c r="E61" s="187"/>
      <c r="F61" s="188"/>
      <c r="G61" s="189"/>
      <c r="H61" s="187"/>
      <c r="I61" s="188"/>
      <c r="J61" s="189"/>
      <c r="K61" s="187"/>
      <c r="L61" s="188"/>
      <c r="M61" s="189"/>
      <c r="N61" s="190"/>
      <c r="O61" s="191"/>
      <c r="P61" s="187"/>
      <c r="Q61" s="190"/>
      <c r="R61" s="191"/>
    </row>
    <row r="62" spans="1:18">
      <c r="A62" s="187">
        <v>1809</v>
      </c>
      <c r="B62" s="187"/>
      <c r="C62" s="188"/>
      <c r="D62" s="189"/>
      <c r="E62" s="187">
        <v>1</v>
      </c>
      <c r="F62" s="188">
        <v>1.35</v>
      </c>
      <c r="G62" s="189">
        <v>8.0190000000000011E-2</v>
      </c>
      <c r="H62" s="187"/>
      <c r="I62" s="188"/>
      <c r="J62" s="189"/>
      <c r="K62" s="187"/>
      <c r="L62" s="188"/>
      <c r="M62" s="189"/>
      <c r="N62" s="190">
        <v>1.35</v>
      </c>
      <c r="O62" s="191">
        <v>8.0190000000000011E-2</v>
      </c>
      <c r="P62" s="187"/>
      <c r="Q62" s="190"/>
      <c r="R62" s="191"/>
    </row>
    <row r="63" spans="1:18">
      <c r="A63" s="187">
        <v>1810</v>
      </c>
      <c r="B63" s="187"/>
      <c r="C63" s="188"/>
      <c r="D63" s="189"/>
      <c r="E63" s="187"/>
      <c r="F63" s="188"/>
      <c r="G63" s="189"/>
      <c r="H63" s="187">
        <v>1</v>
      </c>
      <c r="I63" s="188">
        <v>1.35</v>
      </c>
      <c r="J63" s="189"/>
      <c r="K63" s="187">
        <v>1</v>
      </c>
      <c r="L63" s="188">
        <v>1.4</v>
      </c>
      <c r="M63" s="189">
        <v>6.652799999999999E-2</v>
      </c>
      <c r="N63" s="190">
        <v>1.375</v>
      </c>
      <c r="O63" s="191">
        <v>6.5339999999999995E-2</v>
      </c>
      <c r="P63" s="187"/>
      <c r="Q63" s="190"/>
      <c r="R63" s="191"/>
    </row>
    <row r="64" spans="1:18">
      <c r="A64" s="187">
        <v>1811</v>
      </c>
      <c r="B64" s="187"/>
      <c r="C64" s="188"/>
      <c r="D64" s="189"/>
      <c r="E64" s="187"/>
      <c r="F64" s="188"/>
      <c r="G64" s="189"/>
      <c r="H64" s="187"/>
      <c r="I64" s="188"/>
      <c r="J64" s="189"/>
      <c r="K64" s="187"/>
      <c r="L64" s="188"/>
      <c r="M64" s="189"/>
      <c r="N64" s="190"/>
      <c r="O64" s="191"/>
      <c r="P64" s="187"/>
      <c r="Q64" s="190"/>
      <c r="R64" s="191"/>
    </row>
    <row r="65" spans="1:18">
      <c r="A65" s="187">
        <v>1812</v>
      </c>
      <c r="B65" s="187"/>
      <c r="C65" s="188"/>
      <c r="D65" s="189"/>
      <c r="E65" s="187"/>
      <c r="F65" s="188"/>
      <c r="G65" s="189"/>
      <c r="H65" s="187"/>
      <c r="I65" s="188"/>
      <c r="J65" s="189"/>
      <c r="K65" s="187"/>
      <c r="L65" s="188"/>
      <c r="M65" s="189"/>
      <c r="N65" s="190"/>
      <c r="O65" s="191"/>
      <c r="P65" s="187"/>
      <c r="Q65" s="190"/>
      <c r="R65" s="191"/>
    </row>
    <row r="66" spans="1:18">
      <c r="A66" s="187">
        <v>1813</v>
      </c>
      <c r="B66" s="187"/>
      <c r="C66" s="188"/>
      <c r="D66" s="189"/>
      <c r="E66" s="187"/>
      <c r="F66" s="188"/>
      <c r="G66" s="189"/>
      <c r="H66" s="187"/>
      <c r="I66" s="188"/>
      <c r="J66" s="189"/>
      <c r="K66" s="187"/>
      <c r="L66" s="188"/>
      <c r="M66" s="189"/>
      <c r="N66" s="190"/>
      <c r="O66" s="191"/>
      <c r="P66" s="187"/>
      <c r="Q66" s="190"/>
      <c r="R66" s="191"/>
    </row>
    <row r="67" spans="1:18">
      <c r="A67" s="187">
        <v>1814</v>
      </c>
      <c r="B67" s="187"/>
      <c r="C67" s="188"/>
      <c r="D67" s="189"/>
      <c r="E67" s="187"/>
      <c r="F67" s="188"/>
      <c r="G67" s="189"/>
      <c r="H67" s="187"/>
      <c r="I67" s="188"/>
      <c r="J67" s="189"/>
      <c r="K67" s="187"/>
      <c r="L67" s="188"/>
      <c r="M67" s="189"/>
      <c r="N67" s="190"/>
      <c r="O67" s="191"/>
      <c r="P67" s="187"/>
      <c r="Q67" s="190"/>
      <c r="R67" s="191"/>
    </row>
    <row r="68" spans="1:18">
      <c r="A68" s="187">
        <v>1815</v>
      </c>
      <c r="B68" s="187"/>
      <c r="C68" s="188"/>
      <c r="D68" s="189"/>
      <c r="E68" s="187"/>
      <c r="F68" s="188"/>
      <c r="G68" s="189"/>
      <c r="H68" s="187"/>
      <c r="I68" s="188"/>
      <c r="J68" s="189"/>
      <c r="K68" s="187">
        <v>1</v>
      </c>
      <c r="L68" s="188">
        <v>2.5</v>
      </c>
      <c r="M68" s="189">
        <v>0.09</v>
      </c>
      <c r="N68" s="190">
        <v>2.5</v>
      </c>
      <c r="O68" s="191">
        <v>0.09</v>
      </c>
      <c r="P68" s="187"/>
      <c r="Q68" s="190">
        <v>1.86</v>
      </c>
      <c r="R68" s="191">
        <v>6.6960000000000006E-2</v>
      </c>
    </row>
    <row r="69" spans="1:18">
      <c r="A69" s="187">
        <v>1819</v>
      </c>
      <c r="B69" s="187"/>
      <c r="C69" s="188"/>
      <c r="D69" s="189"/>
      <c r="E69" s="187"/>
      <c r="F69" s="188"/>
      <c r="G69" s="189"/>
      <c r="H69" s="187"/>
      <c r="I69" s="188"/>
      <c r="J69" s="189"/>
      <c r="K69" s="187"/>
      <c r="L69" s="188"/>
      <c r="M69" s="189"/>
      <c r="N69" s="190"/>
      <c r="O69" s="191"/>
      <c r="P69" s="187"/>
      <c r="Q69" s="190"/>
      <c r="R69" s="191"/>
    </row>
    <row r="70" spans="1:18">
      <c r="A70" s="187">
        <v>1820</v>
      </c>
      <c r="B70" s="187"/>
      <c r="C70" s="188"/>
      <c r="D70" s="189"/>
      <c r="E70" s="187"/>
      <c r="F70" s="188"/>
      <c r="G70" s="189"/>
      <c r="H70" s="187"/>
      <c r="I70" s="188"/>
      <c r="J70" s="189"/>
      <c r="K70" s="187"/>
      <c r="L70" s="188"/>
      <c r="M70" s="189"/>
      <c r="N70" s="190"/>
      <c r="O70" s="191"/>
      <c r="P70" s="187"/>
      <c r="Q70" s="190"/>
      <c r="R70" s="191"/>
    </row>
    <row r="71" spans="1:18">
      <c r="A71" s="187">
        <v>1821</v>
      </c>
      <c r="B71" s="187"/>
      <c r="C71" s="188"/>
      <c r="D71" s="189"/>
      <c r="E71" s="187"/>
      <c r="F71" s="188"/>
      <c r="G71" s="189"/>
      <c r="H71" s="187"/>
      <c r="I71" s="188"/>
      <c r="J71" s="189"/>
      <c r="K71" s="187"/>
      <c r="L71" s="188"/>
      <c r="M71" s="189"/>
      <c r="N71" s="190"/>
      <c r="O71" s="191"/>
      <c r="P71" s="187"/>
      <c r="Q71" s="190"/>
      <c r="R71" s="191"/>
    </row>
    <row r="72" spans="1:18">
      <c r="A72" s="187">
        <v>1822</v>
      </c>
      <c r="B72" s="187"/>
      <c r="C72" s="188"/>
      <c r="D72" s="189"/>
      <c r="E72" s="187"/>
      <c r="F72" s="188"/>
      <c r="G72" s="189"/>
      <c r="H72" s="187"/>
      <c r="I72" s="188"/>
      <c r="J72" s="189"/>
      <c r="K72" s="187"/>
      <c r="L72" s="188"/>
      <c r="M72" s="189"/>
      <c r="N72" s="190"/>
      <c r="O72" s="191"/>
      <c r="P72" s="187"/>
      <c r="Q72" s="190"/>
      <c r="R72" s="191"/>
    </row>
    <row r="73" spans="1:18">
      <c r="A73" s="187">
        <v>1826</v>
      </c>
      <c r="B73" s="187"/>
      <c r="C73" s="188"/>
      <c r="D73" s="189"/>
      <c r="E73" s="187"/>
      <c r="F73" s="188"/>
      <c r="G73" s="189"/>
      <c r="H73" s="187"/>
      <c r="I73" s="188"/>
      <c r="J73" s="189"/>
      <c r="K73" s="187"/>
      <c r="L73" s="188">
        <v>1.75</v>
      </c>
      <c r="M73" s="189">
        <v>8.5050000000000001E-2</v>
      </c>
      <c r="N73" s="190">
        <v>1.75</v>
      </c>
      <c r="O73" s="191">
        <v>8.5050000000000001E-2</v>
      </c>
      <c r="P73" s="187"/>
      <c r="Q73" s="190">
        <v>0.75</v>
      </c>
      <c r="R73" s="191">
        <v>3.6450000000000003E-2</v>
      </c>
    </row>
    <row r="74" spans="1:18">
      <c r="A74" s="187">
        <v>1827</v>
      </c>
      <c r="B74" s="187"/>
      <c r="C74" s="188"/>
      <c r="D74" s="189"/>
      <c r="E74" s="187"/>
      <c r="F74" s="188"/>
      <c r="G74" s="189"/>
      <c r="H74" s="187"/>
      <c r="I74" s="188"/>
      <c r="J74" s="189"/>
      <c r="K74" s="187"/>
      <c r="L74" s="188">
        <v>0.7</v>
      </c>
      <c r="M74" s="189">
        <v>3.4020000000000002E-2</v>
      </c>
      <c r="N74" s="190">
        <v>0.7</v>
      </c>
      <c r="O74" s="191">
        <v>3.4020000000000002E-2</v>
      </c>
      <c r="P74" s="187"/>
      <c r="Q74" s="190">
        <v>0.6</v>
      </c>
      <c r="R74" s="191">
        <v>2.9159999999999998E-2</v>
      </c>
    </row>
    <row r="75" spans="1:18">
      <c r="A75" s="187">
        <v>1828</v>
      </c>
      <c r="B75" s="187"/>
      <c r="C75" s="188"/>
      <c r="D75" s="189"/>
      <c r="E75" s="187"/>
      <c r="F75" s="188"/>
      <c r="G75" s="189"/>
      <c r="H75" s="187"/>
      <c r="I75" s="188"/>
      <c r="J75" s="189"/>
      <c r="K75" s="187"/>
      <c r="L75" s="188"/>
      <c r="M75" s="189"/>
      <c r="N75" s="190"/>
      <c r="O75" s="191"/>
      <c r="P75" s="187"/>
      <c r="Q75" s="190"/>
      <c r="R75" s="191">
        <v>0</v>
      </c>
    </row>
    <row r="76" spans="1:18">
      <c r="A76" s="187">
        <v>1829</v>
      </c>
      <c r="B76" s="187"/>
      <c r="C76" s="188"/>
      <c r="D76" s="189"/>
      <c r="E76" s="187"/>
      <c r="F76" s="188"/>
      <c r="G76" s="189"/>
      <c r="H76" s="187"/>
      <c r="I76" s="188"/>
      <c r="J76" s="189"/>
      <c r="K76" s="187"/>
      <c r="L76" s="188"/>
      <c r="M76" s="189"/>
      <c r="N76" s="190"/>
      <c r="O76" s="191"/>
      <c r="P76" s="187"/>
      <c r="Q76" s="190"/>
      <c r="R76" s="191">
        <v>0</v>
      </c>
    </row>
    <row r="77" spans="1:18">
      <c r="A77" s="187">
        <v>1830</v>
      </c>
      <c r="B77" s="187"/>
      <c r="C77" s="188"/>
      <c r="D77" s="189"/>
      <c r="E77" s="187"/>
      <c r="F77" s="188"/>
      <c r="G77" s="189"/>
      <c r="H77" s="187"/>
      <c r="I77" s="188"/>
      <c r="J77" s="189"/>
      <c r="K77" s="187"/>
      <c r="L77" s="188"/>
      <c r="M77" s="189"/>
      <c r="N77" s="190"/>
      <c r="O77" s="191"/>
      <c r="P77" s="187"/>
      <c r="Q77" s="190"/>
      <c r="R77" s="191">
        <v>0</v>
      </c>
    </row>
    <row r="78" spans="1:18">
      <c r="A78" s="187">
        <v>1831</v>
      </c>
      <c r="B78" s="187"/>
      <c r="C78" s="188"/>
      <c r="D78" s="189"/>
      <c r="E78" s="187"/>
      <c r="F78" s="188"/>
      <c r="G78" s="189"/>
      <c r="H78" s="187"/>
      <c r="I78" s="188"/>
      <c r="J78" s="189"/>
      <c r="K78" s="187"/>
      <c r="L78" s="188"/>
      <c r="M78" s="189"/>
      <c r="N78" s="190"/>
      <c r="O78" s="191"/>
      <c r="P78" s="187"/>
      <c r="Q78" s="190"/>
      <c r="R78" s="191">
        <v>0</v>
      </c>
    </row>
    <row r="79" spans="1:18">
      <c r="A79" s="187">
        <v>1832</v>
      </c>
      <c r="B79" s="187"/>
      <c r="C79" s="188"/>
      <c r="D79" s="189"/>
      <c r="E79" s="187"/>
      <c r="F79" s="188"/>
      <c r="G79" s="189"/>
      <c r="H79" s="187"/>
      <c r="I79" s="188"/>
      <c r="J79" s="189"/>
      <c r="K79" s="187"/>
      <c r="L79" s="188">
        <v>1.8</v>
      </c>
      <c r="M79" s="189">
        <v>9.0720000000000023E-2</v>
      </c>
      <c r="N79" s="190">
        <v>1.8</v>
      </c>
      <c r="O79" s="191">
        <v>9.0720000000000023E-2</v>
      </c>
      <c r="P79" s="187"/>
      <c r="Q79" s="190">
        <v>1</v>
      </c>
      <c r="R79" s="191">
        <v>5.04E-2</v>
      </c>
    </row>
    <row r="80" spans="1:18">
      <c r="A80" s="187">
        <v>1833</v>
      </c>
      <c r="B80" s="187"/>
      <c r="C80" s="188"/>
      <c r="D80" s="189"/>
      <c r="E80" s="187"/>
      <c r="F80" s="188"/>
      <c r="G80" s="189"/>
      <c r="H80" s="187"/>
      <c r="I80" s="188"/>
      <c r="J80" s="189"/>
      <c r="K80" s="187"/>
      <c r="L80" s="188"/>
      <c r="M80" s="189"/>
      <c r="N80" s="190"/>
      <c r="O80" s="191"/>
      <c r="P80" s="187"/>
      <c r="Q80" s="190"/>
      <c r="R80" s="191">
        <v>0</v>
      </c>
    </row>
    <row r="81" spans="1:18">
      <c r="A81" s="187">
        <v>1834</v>
      </c>
      <c r="B81" s="187"/>
      <c r="C81" s="188"/>
      <c r="D81" s="189"/>
      <c r="E81" s="187"/>
      <c r="F81" s="188"/>
      <c r="G81" s="189"/>
      <c r="H81" s="187"/>
      <c r="I81" s="188"/>
      <c r="J81" s="189"/>
      <c r="K81" s="187"/>
      <c r="L81" s="188">
        <v>1.9</v>
      </c>
      <c r="M81" s="189">
        <v>9.5759999999999998E-2</v>
      </c>
      <c r="N81" s="190">
        <v>1.9</v>
      </c>
      <c r="O81" s="191">
        <v>9.5759999999999998E-2</v>
      </c>
      <c r="P81" s="187"/>
      <c r="Q81" s="190">
        <v>0.97</v>
      </c>
      <c r="R81" s="191">
        <v>4.8888000000000001E-2</v>
      </c>
    </row>
    <row r="82" spans="1:18">
      <c r="A82" s="187">
        <v>1835</v>
      </c>
      <c r="B82" s="187"/>
      <c r="C82" s="188"/>
      <c r="D82" s="189"/>
      <c r="E82" s="187"/>
      <c r="F82" s="188"/>
      <c r="G82" s="189"/>
      <c r="H82" s="187"/>
      <c r="I82" s="188"/>
      <c r="J82" s="189"/>
      <c r="K82" s="187"/>
      <c r="L82" s="188"/>
      <c r="M82" s="189"/>
      <c r="N82" s="190"/>
      <c r="O82" s="191"/>
      <c r="P82" s="187"/>
      <c r="Q82" s="190"/>
      <c r="R82" s="191">
        <v>0</v>
      </c>
    </row>
    <row r="83" spans="1:18">
      <c r="A83" s="187">
        <v>1836</v>
      </c>
      <c r="B83" s="187"/>
      <c r="C83" s="188"/>
      <c r="D83" s="189"/>
      <c r="E83" s="187"/>
      <c r="F83" s="188"/>
      <c r="G83" s="189"/>
      <c r="H83" s="187"/>
      <c r="I83" s="188"/>
      <c r="J83" s="189"/>
      <c r="K83" s="187"/>
      <c r="L83" s="188"/>
      <c r="M83" s="189"/>
      <c r="N83" s="190"/>
      <c r="O83" s="191"/>
      <c r="P83" s="187"/>
      <c r="Q83" s="190"/>
      <c r="R83" s="191">
        <v>0</v>
      </c>
    </row>
    <row r="84" spans="1:18">
      <c r="A84" s="187">
        <v>1837</v>
      </c>
      <c r="B84" s="187"/>
      <c r="C84" s="188"/>
      <c r="D84" s="189"/>
      <c r="E84" s="187"/>
      <c r="F84" s="188"/>
      <c r="G84" s="189"/>
      <c r="H84" s="187"/>
      <c r="I84" s="188"/>
      <c r="J84" s="189"/>
      <c r="K84" s="187"/>
      <c r="L84" s="188">
        <v>1.9</v>
      </c>
      <c r="M84" s="189">
        <v>9.5759999999999998E-2</v>
      </c>
      <c r="N84" s="190">
        <v>1.9</v>
      </c>
      <c r="O84" s="191">
        <v>9.5759999999999998E-2</v>
      </c>
      <c r="P84" s="187"/>
      <c r="Q84" s="190">
        <v>0.9</v>
      </c>
      <c r="R84" s="191">
        <v>4.5360000000000011E-2</v>
      </c>
    </row>
    <row r="85" spans="1:18">
      <c r="A85" s="187">
        <v>1838</v>
      </c>
      <c r="B85" s="187"/>
      <c r="C85" s="188"/>
      <c r="D85" s="189"/>
      <c r="E85" s="187"/>
      <c r="F85" s="188"/>
      <c r="G85" s="189"/>
      <c r="H85" s="187"/>
      <c r="I85" s="188"/>
      <c r="J85" s="189"/>
      <c r="K85" s="187"/>
      <c r="L85" s="188"/>
      <c r="M85" s="189"/>
      <c r="N85" s="190"/>
      <c r="O85" s="191"/>
      <c r="P85" s="187"/>
      <c r="Q85" s="190"/>
      <c r="R85" s="191">
        <v>0</v>
      </c>
    </row>
    <row r="86" spans="1:18">
      <c r="A86" s="187">
        <v>1839</v>
      </c>
      <c r="B86" s="187"/>
      <c r="C86" s="188"/>
      <c r="D86" s="189"/>
      <c r="E86" s="187"/>
      <c r="F86" s="188"/>
      <c r="G86" s="189"/>
      <c r="H86" s="187"/>
      <c r="I86" s="188"/>
      <c r="J86" s="189"/>
      <c r="K86" s="187"/>
      <c r="L86" s="188">
        <v>1.8</v>
      </c>
      <c r="M86" s="189">
        <v>9.0720000000000023E-2</v>
      </c>
      <c r="N86" s="190">
        <v>1.8</v>
      </c>
      <c r="O86" s="191">
        <v>9.0720000000000023E-2</v>
      </c>
      <c r="P86" s="187"/>
      <c r="Q86" s="190">
        <v>1</v>
      </c>
      <c r="R86" s="191">
        <v>5.04E-2</v>
      </c>
    </row>
    <row r="87" spans="1:18">
      <c r="A87" s="187">
        <v>1840</v>
      </c>
      <c r="B87" s="187"/>
      <c r="C87" s="188"/>
      <c r="D87" s="189"/>
      <c r="E87" s="187"/>
      <c r="F87" s="188"/>
      <c r="G87" s="189"/>
      <c r="H87" s="187"/>
      <c r="I87" s="188"/>
      <c r="J87" s="189"/>
      <c r="K87" s="187"/>
      <c r="L87" s="188">
        <v>0.5</v>
      </c>
      <c r="M87" s="189">
        <v>8.8200000000000001E-2</v>
      </c>
      <c r="N87" s="190">
        <v>0.5</v>
      </c>
      <c r="O87" s="191">
        <v>8.8200000000000001E-2</v>
      </c>
      <c r="P87" s="187"/>
      <c r="Q87" s="190">
        <v>0.3</v>
      </c>
      <c r="R87" s="191">
        <v>5.2919999999999995E-2</v>
      </c>
    </row>
    <row r="88" spans="1:18">
      <c r="A88" s="187">
        <v>1841</v>
      </c>
      <c r="B88" s="187"/>
      <c r="C88" s="188"/>
      <c r="D88" s="189"/>
      <c r="E88" s="187"/>
      <c r="F88" s="188"/>
      <c r="G88" s="189"/>
      <c r="H88" s="187"/>
      <c r="I88" s="188"/>
      <c r="J88" s="189"/>
      <c r="K88" s="187"/>
      <c r="L88" s="188">
        <v>0.6</v>
      </c>
      <c r="M88" s="189">
        <v>0.10583999999999999</v>
      </c>
      <c r="N88" s="190">
        <v>0.6</v>
      </c>
      <c r="O88" s="191">
        <v>0.10583999999999999</v>
      </c>
      <c r="P88" s="187"/>
      <c r="Q88" s="190">
        <v>0.3</v>
      </c>
      <c r="R88" s="191">
        <v>5.2919999999999995E-2</v>
      </c>
    </row>
    <row r="89" spans="1:18">
      <c r="A89" s="187">
        <v>1842</v>
      </c>
      <c r="B89" s="187"/>
      <c r="C89" s="188"/>
      <c r="D89" s="189"/>
      <c r="E89" s="187"/>
      <c r="F89" s="188"/>
      <c r="G89" s="189"/>
      <c r="H89" s="187"/>
      <c r="I89" s="188"/>
      <c r="J89" s="189"/>
      <c r="K89" s="187"/>
      <c r="L89" s="188">
        <v>0.5</v>
      </c>
      <c r="M89" s="189">
        <v>8.8200000000000001E-2</v>
      </c>
      <c r="N89" s="190">
        <v>0.5</v>
      </c>
      <c r="O89" s="191">
        <v>8.8200000000000001E-2</v>
      </c>
      <c r="P89" s="187"/>
      <c r="Q89" s="190">
        <v>0.3</v>
      </c>
      <c r="R89" s="191">
        <v>5.2919999999999995E-2</v>
      </c>
    </row>
    <row r="90" spans="1:18">
      <c r="A90" s="187">
        <v>1843</v>
      </c>
      <c r="B90" s="187"/>
      <c r="C90" s="188"/>
      <c r="D90" s="189"/>
      <c r="E90" s="187"/>
      <c r="F90" s="188"/>
      <c r="G90" s="189"/>
      <c r="H90" s="187"/>
      <c r="I90" s="188"/>
      <c r="J90" s="189"/>
      <c r="K90" s="187"/>
      <c r="L90" s="188">
        <v>0.4</v>
      </c>
      <c r="M90" s="189">
        <v>7.0559999999999998E-2</v>
      </c>
      <c r="N90" s="190">
        <v>0.4</v>
      </c>
      <c r="O90" s="191">
        <v>7.0559999999999998E-2</v>
      </c>
      <c r="P90" s="187"/>
      <c r="Q90" s="190">
        <v>0.25</v>
      </c>
      <c r="R90" s="191">
        <v>4.41E-2</v>
      </c>
    </row>
    <row r="91" spans="1:18">
      <c r="A91" s="187">
        <v>1844</v>
      </c>
      <c r="B91" s="187"/>
      <c r="C91" s="188"/>
      <c r="D91" s="189"/>
      <c r="E91" s="187"/>
      <c r="F91" s="188"/>
      <c r="G91" s="189"/>
      <c r="H91" s="187"/>
      <c r="I91" s="188"/>
      <c r="J91" s="189"/>
      <c r="K91" s="187"/>
      <c r="L91" s="188">
        <v>0.5</v>
      </c>
      <c r="M91" s="189">
        <v>8.8200000000000001E-2</v>
      </c>
      <c r="N91" s="190">
        <v>0.5</v>
      </c>
      <c r="O91" s="191">
        <v>8.8200000000000001E-2</v>
      </c>
      <c r="P91" s="187"/>
      <c r="Q91" s="190">
        <v>0.33</v>
      </c>
      <c r="R91" s="191">
        <v>5.8212E-2</v>
      </c>
    </row>
    <row r="92" spans="1:18">
      <c r="A92" s="187">
        <v>1845</v>
      </c>
      <c r="B92" s="187"/>
      <c r="C92" s="188"/>
      <c r="D92" s="189"/>
      <c r="E92" s="187"/>
      <c r="F92" s="188"/>
      <c r="G92" s="189"/>
      <c r="H92" s="187"/>
      <c r="I92" s="188"/>
      <c r="J92" s="189"/>
      <c r="K92" s="187"/>
      <c r="L92" s="188">
        <v>0.65</v>
      </c>
      <c r="M92" s="189">
        <v>0.11466</v>
      </c>
      <c r="N92" s="190">
        <v>0.65</v>
      </c>
      <c r="O92" s="191">
        <v>0.11466</v>
      </c>
      <c r="P92" s="187"/>
      <c r="Q92" s="190">
        <v>0.3</v>
      </c>
      <c r="R92" s="191">
        <v>5.2919999999999995E-2</v>
      </c>
    </row>
    <row r="93" spans="1:18">
      <c r="A93" s="187">
        <v>1846</v>
      </c>
      <c r="B93" s="187"/>
      <c r="C93" s="188"/>
      <c r="D93" s="189"/>
      <c r="E93" s="187"/>
      <c r="F93" s="188"/>
      <c r="G93" s="189"/>
      <c r="H93" s="187"/>
      <c r="I93" s="188"/>
      <c r="J93" s="189"/>
      <c r="K93" s="187"/>
      <c r="L93" s="188">
        <v>0.45</v>
      </c>
      <c r="M93" s="189">
        <v>7.9379999999999992E-2</v>
      </c>
      <c r="N93" s="190">
        <v>0.45</v>
      </c>
      <c r="O93" s="191">
        <v>7.9379999999999992E-2</v>
      </c>
      <c r="P93" s="187"/>
      <c r="Q93" s="190">
        <v>0.25</v>
      </c>
      <c r="R93" s="191">
        <v>4.41E-2</v>
      </c>
    </row>
    <row r="94" spans="1:18">
      <c r="A94" s="187">
        <v>1847</v>
      </c>
      <c r="B94" s="187"/>
      <c r="C94" s="188"/>
      <c r="D94" s="189"/>
      <c r="E94" s="187"/>
      <c r="F94" s="188"/>
      <c r="G94" s="189"/>
      <c r="H94" s="187"/>
      <c r="I94" s="188"/>
      <c r="J94" s="189"/>
      <c r="K94" s="187"/>
      <c r="L94" s="188">
        <v>0.65</v>
      </c>
      <c r="M94" s="189">
        <v>0.11466</v>
      </c>
      <c r="N94" s="190">
        <v>0.65</v>
      </c>
      <c r="O94" s="191">
        <v>0.11466</v>
      </c>
      <c r="P94" s="187"/>
      <c r="Q94" s="190">
        <v>0.35</v>
      </c>
      <c r="R94" s="191">
        <v>6.1739999999999989E-2</v>
      </c>
    </row>
    <row r="95" spans="1:18">
      <c r="A95" s="187">
        <v>1848</v>
      </c>
      <c r="B95" s="187"/>
      <c r="C95" s="188"/>
      <c r="D95" s="189"/>
      <c r="E95" s="187"/>
      <c r="F95" s="188"/>
      <c r="G95" s="189"/>
      <c r="H95" s="187"/>
      <c r="I95" s="188"/>
      <c r="J95" s="189"/>
      <c r="K95" s="187"/>
      <c r="L95" s="188">
        <v>0.5</v>
      </c>
      <c r="M95" s="189">
        <v>8.8200000000000001E-2</v>
      </c>
      <c r="N95" s="190">
        <v>0.5</v>
      </c>
      <c r="O95" s="191">
        <v>8.8200000000000001E-2</v>
      </c>
      <c r="P95" s="187"/>
      <c r="Q95" s="190">
        <v>0.25</v>
      </c>
      <c r="R95" s="191">
        <v>4.41E-2</v>
      </c>
    </row>
    <row r="96" spans="1:18">
      <c r="A96" s="187">
        <v>1849</v>
      </c>
      <c r="B96" s="187"/>
      <c r="C96" s="188"/>
      <c r="D96" s="189"/>
      <c r="E96" s="187"/>
      <c r="F96" s="188"/>
      <c r="G96" s="189"/>
      <c r="H96" s="187"/>
      <c r="I96" s="188"/>
      <c r="J96" s="189"/>
      <c r="K96" s="187"/>
      <c r="L96" s="188">
        <v>0.45</v>
      </c>
      <c r="M96" s="189">
        <v>7.9379999999999992E-2</v>
      </c>
      <c r="N96" s="190">
        <v>0.45</v>
      </c>
      <c r="O96" s="191">
        <v>7.9379999999999992E-2</v>
      </c>
      <c r="P96" s="187"/>
      <c r="Q96" s="190">
        <v>0.25</v>
      </c>
      <c r="R96" s="191">
        <v>4.41E-2</v>
      </c>
    </row>
    <row r="97" spans="1:18">
      <c r="A97" s="187">
        <v>1850</v>
      </c>
      <c r="B97" s="187"/>
      <c r="C97" s="188"/>
      <c r="D97" s="189"/>
      <c r="E97" s="187"/>
      <c r="F97" s="188"/>
      <c r="G97" s="189"/>
      <c r="H97" s="187"/>
      <c r="I97" s="188"/>
      <c r="J97" s="189"/>
      <c r="K97" s="187"/>
      <c r="L97" s="188">
        <v>0.4</v>
      </c>
      <c r="M97" s="189">
        <v>6.8400000000000002E-2</v>
      </c>
      <c r="N97" s="190">
        <v>0.4</v>
      </c>
      <c r="O97" s="191">
        <v>6.8400000000000002E-2</v>
      </c>
      <c r="P97" s="187"/>
      <c r="Q97" s="190">
        <v>0.25</v>
      </c>
      <c r="R97" s="191">
        <v>4.2749999999999996E-2</v>
      </c>
    </row>
    <row r="98" spans="1:18">
      <c r="A98" s="187">
        <v>1851</v>
      </c>
      <c r="B98" s="187"/>
      <c r="C98" s="188"/>
      <c r="D98" s="189"/>
      <c r="E98" s="187"/>
      <c r="F98" s="188"/>
      <c r="G98" s="189"/>
      <c r="H98" s="187"/>
      <c r="I98" s="188"/>
      <c r="J98" s="189"/>
      <c r="K98" s="187"/>
      <c r="L98" s="188">
        <v>0.4</v>
      </c>
      <c r="M98" s="189">
        <v>6.8400000000000002E-2</v>
      </c>
      <c r="N98" s="190">
        <v>0.4</v>
      </c>
      <c r="O98" s="191">
        <v>6.8400000000000002E-2</v>
      </c>
      <c r="P98" s="187"/>
      <c r="Q98" s="190">
        <v>0.25</v>
      </c>
      <c r="R98" s="191">
        <v>4.2749999999999996E-2</v>
      </c>
    </row>
    <row r="99" spans="1:18">
      <c r="A99" s="187">
        <v>1852</v>
      </c>
      <c r="B99" s="187"/>
      <c r="C99" s="188"/>
      <c r="D99" s="189"/>
      <c r="E99" s="187"/>
      <c r="F99" s="188"/>
      <c r="G99" s="189"/>
      <c r="H99" s="187"/>
      <c r="I99" s="188"/>
      <c r="J99" s="189"/>
      <c r="K99" s="187"/>
      <c r="L99" s="188">
        <v>0.5</v>
      </c>
      <c r="M99" s="189">
        <v>8.5499999999999993E-2</v>
      </c>
      <c r="N99" s="190">
        <v>0.5</v>
      </c>
      <c r="O99" s="191">
        <v>8.5499999999999993E-2</v>
      </c>
      <c r="P99" s="187"/>
      <c r="Q99" s="190">
        <v>0.25</v>
      </c>
      <c r="R99" s="191">
        <v>4.2749999999999996E-2</v>
      </c>
    </row>
    <row r="100" spans="1:18">
      <c r="A100" s="187">
        <v>1853</v>
      </c>
      <c r="B100" s="187"/>
      <c r="C100" s="188"/>
      <c r="D100" s="189"/>
      <c r="E100" s="187"/>
      <c r="F100" s="188"/>
      <c r="G100" s="189"/>
      <c r="H100" s="187"/>
      <c r="I100" s="188"/>
      <c r="J100" s="189"/>
      <c r="K100" s="187"/>
      <c r="L100" s="188">
        <v>0.45</v>
      </c>
      <c r="M100" s="189">
        <v>7.6949999999999991E-2</v>
      </c>
      <c r="N100" s="190">
        <v>0.45</v>
      </c>
      <c r="O100" s="191">
        <v>7.6949999999999991E-2</v>
      </c>
      <c r="P100" s="187"/>
      <c r="Q100" s="190">
        <v>0.25</v>
      </c>
      <c r="R100" s="191">
        <v>4.2749999999999996E-2</v>
      </c>
    </row>
    <row r="101" spans="1:18">
      <c r="A101" s="187">
        <v>1854</v>
      </c>
      <c r="B101" s="187"/>
      <c r="C101" s="188"/>
      <c r="D101" s="189"/>
      <c r="E101" s="187"/>
      <c r="F101" s="188"/>
      <c r="G101" s="189"/>
      <c r="H101" s="187"/>
      <c r="I101" s="188"/>
      <c r="J101" s="189"/>
      <c r="K101" s="187"/>
      <c r="L101" s="188">
        <v>0.45</v>
      </c>
      <c r="M101" s="189">
        <v>7.6949999999999991E-2</v>
      </c>
      <c r="N101" s="190">
        <v>0.45</v>
      </c>
      <c r="O101" s="191">
        <v>7.6949999999999991E-2</v>
      </c>
      <c r="P101" s="187"/>
      <c r="Q101" s="190">
        <v>0.25</v>
      </c>
      <c r="R101" s="191">
        <v>4.2749999999999996E-2</v>
      </c>
    </row>
    <row r="102" spans="1:18">
      <c r="A102" s="187">
        <v>1855</v>
      </c>
      <c r="B102" s="187"/>
      <c r="C102" s="188"/>
      <c r="D102" s="189"/>
      <c r="E102" s="187"/>
      <c r="F102" s="188"/>
      <c r="G102" s="189"/>
      <c r="H102" s="187"/>
      <c r="I102" s="188"/>
      <c r="J102" s="189"/>
      <c r="K102" s="187"/>
      <c r="L102" s="188">
        <v>0.5</v>
      </c>
      <c r="M102" s="189">
        <v>8.5499999999999993E-2</v>
      </c>
      <c r="N102" s="190">
        <v>0.5</v>
      </c>
      <c r="O102" s="191">
        <v>8.5499999999999993E-2</v>
      </c>
      <c r="P102" s="187"/>
      <c r="Q102" s="190">
        <v>0.3</v>
      </c>
      <c r="R102" s="191">
        <v>5.1299999999999991E-2</v>
      </c>
    </row>
    <row r="103" spans="1:18">
      <c r="A103" s="187">
        <v>1856</v>
      </c>
      <c r="B103" s="187"/>
      <c r="C103" s="188"/>
      <c r="D103" s="189"/>
      <c r="E103" s="187"/>
      <c r="F103" s="188"/>
      <c r="G103" s="189"/>
      <c r="H103" s="187"/>
      <c r="I103" s="188"/>
      <c r="J103" s="189"/>
      <c r="K103" s="187"/>
      <c r="L103" s="188">
        <v>0.6</v>
      </c>
      <c r="M103" s="189">
        <v>0.10259999999999998</v>
      </c>
      <c r="N103" s="190">
        <v>0.6</v>
      </c>
      <c r="O103" s="191">
        <v>0.10259999999999998</v>
      </c>
      <c r="P103" s="187"/>
      <c r="Q103" s="190">
        <v>0.3</v>
      </c>
      <c r="R103" s="191">
        <v>5.1299999999999991E-2</v>
      </c>
    </row>
    <row r="104" spans="1:18">
      <c r="A104" s="187">
        <v>1857</v>
      </c>
      <c r="B104" s="187"/>
      <c r="C104" s="188"/>
      <c r="D104" s="189"/>
      <c r="E104" s="187"/>
      <c r="F104" s="188"/>
      <c r="G104" s="189"/>
      <c r="H104" s="187"/>
      <c r="I104" s="188"/>
      <c r="J104" s="189"/>
      <c r="K104" s="187"/>
      <c r="L104" s="188"/>
      <c r="M104" s="189"/>
      <c r="N104" s="190"/>
      <c r="O104" s="191"/>
      <c r="P104" s="187"/>
      <c r="Q104" s="190"/>
      <c r="R104" s="191"/>
    </row>
    <row r="105" spans="1:18">
      <c r="A105" s="187">
        <v>1858</v>
      </c>
      <c r="B105" s="187"/>
      <c r="C105" s="188"/>
      <c r="D105" s="189"/>
      <c r="E105" s="187"/>
      <c r="F105" s="188"/>
      <c r="G105" s="189"/>
      <c r="H105" s="187"/>
      <c r="I105" s="188"/>
      <c r="J105" s="189"/>
      <c r="K105" s="187"/>
      <c r="L105" s="188">
        <v>0.8</v>
      </c>
      <c r="M105" s="189">
        <v>0.1368</v>
      </c>
      <c r="N105" s="190">
        <v>0.8</v>
      </c>
      <c r="O105" s="191">
        <v>0.1368</v>
      </c>
      <c r="P105" s="187"/>
      <c r="Q105" s="190">
        <v>0.4</v>
      </c>
      <c r="R105" s="191">
        <v>6.8400000000000002E-2</v>
      </c>
    </row>
    <row r="106" spans="1:18">
      <c r="A106" s="187">
        <v>1859</v>
      </c>
      <c r="B106" s="187"/>
      <c r="C106" s="188"/>
      <c r="D106" s="189"/>
      <c r="E106" s="187"/>
      <c r="F106" s="188"/>
      <c r="G106" s="189"/>
      <c r="H106" s="187"/>
      <c r="I106" s="188"/>
      <c r="J106" s="189"/>
      <c r="K106" s="187"/>
      <c r="L106" s="188">
        <v>0.85</v>
      </c>
      <c r="M106" s="189">
        <v>0.14535000000000001</v>
      </c>
      <c r="N106" s="190">
        <v>0.85</v>
      </c>
      <c r="O106" s="191">
        <v>0.14535000000000001</v>
      </c>
      <c r="P106" s="187"/>
      <c r="Q106" s="190">
        <v>0.5</v>
      </c>
      <c r="R106" s="191">
        <v>8.5499999999999993E-2</v>
      </c>
    </row>
    <row r="107" spans="1:18">
      <c r="A107" s="187">
        <v>1860</v>
      </c>
      <c r="B107" s="187"/>
      <c r="C107" s="188"/>
      <c r="D107" s="189"/>
      <c r="E107" s="187"/>
      <c r="F107" s="188"/>
      <c r="G107" s="189"/>
      <c r="H107" s="187"/>
      <c r="I107" s="188"/>
      <c r="J107" s="189"/>
      <c r="K107" s="187"/>
      <c r="L107" s="188">
        <v>0.9</v>
      </c>
      <c r="M107" s="189">
        <v>0.13446</v>
      </c>
      <c r="N107" s="190">
        <v>0.9</v>
      </c>
      <c r="O107" s="191">
        <v>0.13446</v>
      </c>
      <c r="P107" s="187"/>
      <c r="Q107" s="190">
        <v>0.5</v>
      </c>
      <c r="R107" s="191">
        <v>7.4699999999999989E-2</v>
      </c>
    </row>
    <row r="108" spans="1:18">
      <c r="A108" s="187">
        <v>1861</v>
      </c>
      <c r="B108" s="187"/>
      <c r="C108" s="188"/>
      <c r="D108" s="189"/>
      <c r="E108" s="187"/>
      <c r="F108" s="188"/>
      <c r="G108" s="189"/>
      <c r="H108" s="187"/>
      <c r="I108" s="188"/>
      <c r="J108" s="189"/>
      <c r="K108" s="187"/>
      <c r="L108" s="188">
        <v>1</v>
      </c>
      <c r="M108" s="189">
        <v>0.14939999999999998</v>
      </c>
      <c r="N108" s="190">
        <v>1</v>
      </c>
      <c r="O108" s="191">
        <v>0.14939999999999998</v>
      </c>
      <c r="P108" s="187"/>
      <c r="Q108" s="190">
        <v>0.6</v>
      </c>
      <c r="R108" s="191">
        <v>8.9639999999999984E-2</v>
      </c>
    </row>
    <row r="109" spans="1:18">
      <c r="A109" s="187">
        <v>1862</v>
      </c>
      <c r="B109" s="187"/>
      <c r="C109" s="188"/>
      <c r="D109" s="189"/>
      <c r="E109" s="187"/>
      <c r="F109" s="188"/>
      <c r="G109" s="189"/>
      <c r="H109" s="187"/>
      <c r="I109" s="188"/>
      <c r="J109" s="189"/>
      <c r="K109" s="187"/>
      <c r="L109" s="188"/>
      <c r="M109" s="189"/>
      <c r="N109" s="190"/>
      <c r="O109" s="191"/>
      <c r="P109" s="187"/>
      <c r="Q109" s="190"/>
      <c r="R109" s="191"/>
    </row>
    <row r="110" spans="1:18">
      <c r="A110" s="187">
        <v>1863</v>
      </c>
      <c r="B110" s="187"/>
      <c r="C110" s="188"/>
      <c r="D110" s="189"/>
      <c r="E110" s="187"/>
      <c r="F110" s="188"/>
      <c r="G110" s="189"/>
      <c r="H110" s="187"/>
      <c r="I110" s="188"/>
      <c r="J110" s="189"/>
      <c r="K110" s="187"/>
      <c r="L110" s="188">
        <v>1</v>
      </c>
      <c r="M110" s="189">
        <v>0.14939999999999998</v>
      </c>
      <c r="N110" s="190">
        <v>1</v>
      </c>
      <c r="O110" s="191">
        <v>0.14939999999999998</v>
      </c>
      <c r="P110" s="187"/>
      <c r="Q110" s="190">
        <v>0.7</v>
      </c>
      <c r="R110" s="191">
        <v>0.10457999999999999</v>
      </c>
    </row>
    <row r="111" spans="1:18">
      <c r="A111" s="187">
        <v>1864</v>
      </c>
      <c r="B111" s="187"/>
      <c r="C111" s="188"/>
      <c r="D111" s="189"/>
      <c r="E111" s="187"/>
      <c r="F111" s="188"/>
      <c r="G111" s="189"/>
      <c r="H111" s="187"/>
      <c r="I111" s="188"/>
      <c r="J111" s="189"/>
      <c r="K111" s="187"/>
      <c r="L111" s="188">
        <v>1</v>
      </c>
      <c r="M111" s="189">
        <v>0.14939999999999998</v>
      </c>
      <c r="N111" s="190">
        <v>1</v>
      </c>
      <c r="O111" s="191">
        <v>0.14939999999999998</v>
      </c>
      <c r="P111" s="187"/>
      <c r="Q111" s="190">
        <v>0.75</v>
      </c>
      <c r="R111" s="191">
        <v>0.11204999999999998</v>
      </c>
    </row>
    <row r="112" spans="1:18">
      <c r="A112" s="187">
        <v>1865</v>
      </c>
      <c r="B112" s="187"/>
      <c r="C112" s="188"/>
      <c r="D112" s="189"/>
      <c r="E112" s="187"/>
      <c r="F112" s="188"/>
      <c r="G112" s="189"/>
      <c r="H112" s="187"/>
      <c r="I112" s="188"/>
      <c r="J112" s="189"/>
      <c r="K112" s="187"/>
      <c r="L112" s="188">
        <v>1.1000000000000001</v>
      </c>
      <c r="M112" s="189">
        <v>0.16434000000000001</v>
      </c>
      <c r="N112" s="190">
        <v>1.1000000000000001</v>
      </c>
      <c r="O112" s="191">
        <v>0.16434000000000001</v>
      </c>
      <c r="P112" s="187"/>
      <c r="Q112" s="190">
        <v>0.75</v>
      </c>
      <c r="R112" s="191">
        <v>0.11204999999999998</v>
      </c>
    </row>
    <row r="113" spans="1:18">
      <c r="A113" s="187">
        <v>1866</v>
      </c>
      <c r="B113" s="187"/>
      <c r="C113" s="188"/>
      <c r="D113" s="189"/>
      <c r="E113" s="187"/>
      <c r="F113" s="188"/>
      <c r="G113" s="189"/>
      <c r="H113" s="187"/>
      <c r="I113" s="188"/>
      <c r="J113" s="189"/>
      <c r="K113" s="187"/>
      <c r="L113" s="188">
        <v>1.1000000000000001</v>
      </c>
      <c r="M113" s="189">
        <v>0.16434000000000001</v>
      </c>
      <c r="N113" s="190">
        <v>1.1000000000000001</v>
      </c>
      <c r="O113" s="191">
        <v>0.16434000000000001</v>
      </c>
      <c r="P113" s="187"/>
      <c r="Q113" s="190">
        <v>0.7</v>
      </c>
      <c r="R113" s="191">
        <v>0.10457999999999999</v>
      </c>
    </row>
    <row r="114" spans="1:18">
      <c r="A114" s="187">
        <v>1867</v>
      </c>
      <c r="B114" s="187"/>
      <c r="C114" s="188"/>
      <c r="D114" s="189"/>
      <c r="E114" s="187"/>
      <c r="F114" s="188"/>
      <c r="G114" s="189"/>
      <c r="H114" s="187"/>
      <c r="I114" s="188"/>
      <c r="J114" s="189"/>
      <c r="K114" s="187"/>
      <c r="L114" s="188">
        <v>1.1000000000000001</v>
      </c>
      <c r="M114" s="189">
        <v>0.16434000000000001</v>
      </c>
      <c r="N114" s="190">
        <v>1.1000000000000001</v>
      </c>
      <c r="O114" s="191">
        <v>0.16434000000000001</v>
      </c>
      <c r="P114" s="187"/>
      <c r="Q114" s="190">
        <v>0.7</v>
      </c>
      <c r="R114" s="191">
        <v>0.10457999999999999</v>
      </c>
    </row>
    <row r="115" spans="1:18">
      <c r="A115" s="187">
        <v>1868</v>
      </c>
      <c r="B115" s="187"/>
      <c r="C115" s="188"/>
      <c r="D115" s="189"/>
      <c r="E115" s="187"/>
      <c r="F115" s="188"/>
      <c r="G115" s="189"/>
      <c r="H115" s="187"/>
      <c r="I115" s="188"/>
      <c r="J115" s="189"/>
      <c r="K115" s="187"/>
      <c r="L115" s="188"/>
      <c r="M115" s="189"/>
      <c r="N115" s="190"/>
      <c r="O115" s="191"/>
      <c r="P115" s="187"/>
      <c r="Q115" s="190"/>
      <c r="R115" s="191"/>
    </row>
    <row r="116" spans="1:18">
      <c r="A116" s="187">
        <v>1869</v>
      </c>
      <c r="B116" s="187"/>
      <c r="C116" s="188"/>
      <c r="D116" s="189"/>
      <c r="E116" s="187"/>
      <c r="F116" s="188"/>
      <c r="G116" s="189"/>
      <c r="H116" s="187"/>
      <c r="I116" s="188"/>
      <c r="J116" s="189"/>
      <c r="K116" s="187"/>
      <c r="L116" s="188"/>
      <c r="M116" s="189"/>
      <c r="N116" s="190"/>
      <c r="O116" s="191"/>
      <c r="P116" s="187"/>
      <c r="Q116" s="190"/>
      <c r="R116" s="191"/>
    </row>
    <row r="117" spans="1:18">
      <c r="A117" s="187">
        <v>1870</v>
      </c>
      <c r="B117" s="187"/>
      <c r="C117" s="188"/>
      <c r="D117" s="189"/>
      <c r="E117" s="187"/>
      <c r="F117" s="188"/>
      <c r="G117" s="189"/>
      <c r="H117" s="187"/>
      <c r="I117" s="188"/>
      <c r="J117" s="189"/>
      <c r="K117" s="187"/>
      <c r="L117" s="188"/>
      <c r="M117" s="189"/>
      <c r="N117" s="190"/>
      <c r="O117" s="191"/>
      <c r="P117" s="187"/>
      <c r="Q117" s="190"/>
      <c r="R117" s="191"/>
    </row>
    <row r="118" spans="1:18">
      <c r="A118" s="187">
        <v>1871</v>
      </c>
      <c r="B118" s="187"/>
      <c r="C118" s="188"/>
      <c r="D118" s="189"/>
      <c r="E118" s="187"/>
      <c r="F118" s="188"/>
      <c r="G118" s="189"/>
      <c r="H118" s="187"/>
      <c r="I118" s="188"/>
      <c r="J118" s="189"/>
      <c r="K118" s="187"/>
      <c r="L118" s="188">
        <v>1.17</v>
      </c>
      <c r="M118" s="189">
        <v>0.16847999999999999</v>
      </c>
      <c r="N118" s="190">
        <v>1.17</v>
      </c>
      <c r="O118" s="191"/>
      <c r="P118" s="187"/>
      <c r="Q118" s="190">
        <v>0.87083330000000003</v>
      </c>
      <c r="R118" s="191">
        <v>0.1253999952</v>
      </c>
    </row>
    <row r="119" spans="1:18">
      <c r="A119" s="187">
        <v>1872</v>
      </c>
      <c r="B119" s="187"/>
      <c r="C119" s="188"/>
      <c r="D119" s="189"/>
      <c r="E119" s="187"/>
      <c r="F119" s="188"/>
      <c r="G119" s="189"/>
      <c r="H119" s="187"/>
      <c r="I119" s="188"/>
      <c r="J119" s="189"/>
      <c r="K119" s="187"/>
      <c r="L119" s="188">
        <v>1.2041667</v>
      </c>
      <c r="M119" s="189">
        <v>0.17340000480000001</v>
      </c>
      <c r="N119" s="190">
        <v>1.2041667</v>
      </c>
      <c r="O119" s="191"/>
      <c r="P119" s="187"/>
      <c r="Q119" s="190">
        <v>0.80625000000000002</v>
      </c>
      <c r="R119" s="191">
        <v>0.11609999999999999</v>
      </c>
    </row>
    <row r="120" spans="1:18">
      <c r="A120" s="187">
        <v>1873</v>
      </c>
      <c r="B120" s="187"/>
      <c r="C120" s="188"/>
      <c r="D120" s="189"/>
      <c r="E120" s="187"/>
      <c r="F120" s="188"/>
      <c r="G120" s="189"/>
      <c r="H120" s="187"/>
      <c r="I120" s="188"/>
      <c r="J120" s="189"/>
      <c r="K120" s="187"/>
      <c r="L120" s="188">
        <v>1.1625000000000001</v>
      </c>
      <c r="M120" s="189">
        <v>0.16740000000000002</v>
      </c>
      <c r="N120" s="190">
        <v>1.1625000000000001</v>
      </c>
      <c r="O120" s="191"/>
      <c r="P120" s="187"/>
      <c r="Q120" s="190">
        <v>0.75416669999999997</v>
      </c>
      <c r="R120" s="191">
        <v>0.1086000048</v>
      </c>
    </row>
    <row r="121" spans="1:18">
      <c r="A121" s="187">
        <v>1874</v>
      </c>
      <c r="B121" s="187"/>
      <c r="C121" s="188"/>
      <c r="D121" s="189"/>
      <c r="E121" s="187"/>
      <c r="F121" s="188"/>
      <c r="G121" s="189"/>
      <c r="H121" s="187"/>
      <c r="I121" s="188"/>
      <c r="J121" s="189"/>
      <c r="K121" s="187"/>
      <c r="L121" s="188">
        <v>1.1499999999999999</v>
      </c>
      <c r="M121" s="189">
        <v>0.16559999999999997</v>
      </c>
      <c r="N121" s="190">
        <v>1.1499999999999999</v>
      </c>
      <c r="O121" s="191"/>
      <c r="P121" s="187"/>
      <c r="Q121" s="190">
        <v>0.86458330000000005</v>
      </c>
      <c r="R121" s="191">
        <v>0.12449999520000002</v>
      </c>
    </row>
    <row r="122" spans="1:18">
      <c r="A122" s="187">
        <v>1875</v>
      </c>
      <c r="B122" s="187"/>
      <c r="C122" s="188"/>
      <c r="D122" s="189"/>
      <c r="E122" s="187"/>
      <c r="F122" s="188"/>
      <c r="G122" s="189"/>
      <c r="H122" s="187"/>
      <c r="I122" s="188"/>
      <c r="J122" s="189"/>
      <c r="K122" s="187"/>
      <c r="L122" s="188">
        <v>1.2416666999999999</v>
      </c>
      <c r="M122" s="189">
        <v>0.1788000048</v>
      </c>
      <c r="N122" s="190">
        <v>1.2416666999999999</v>
      </c>
      <c r="O122" s="191"/>
      <c r="P122" s="187"/>
      <c r="Q122" s="190">
        <v>0.94166669999999997</v>
      </c>
      <c r="R122" s="191"/>
    </row>
    <row r="128" spans="1:18">
      <c r="A128" t="s">
        <v>335</v>
      </c>
    </row>
    <row r="129" spans="1:32">
      <c r="A129" s="66" t="s">
        <v>477</v>
      </c>
    </row>
    <row r="130" spans="1:32">
      <c r="A130" s="66" t="s">
        <v>478</v>
      </c>
    </row>
    <row r="131" spans="1:32">
      <c r="A131" s="66" t="s">
        <v>479</v>
      </c>
    </row>
    <row r="132" spans="1:32">
      <c r="A132" s="66" t="s">
        <v>480</v>
      </c>
    </row>
    <row r="133" spans="1:32">
      <c r="A133" s="66" t="s">
        <v>481</v>
      </c>
    </row>
    <row r="134" spans="1:32">
      <c r="A134" s="66" t="s">
        <v>482</v>
      </c>
    </row>
    <row r="135" spans="1:32" s="35" customFormat="1">
      <c r="A135" s="66" t="s">
        <v>483</v>
      </c>
      <c r="B135"/>
      <c r="C135" s="68"/>
      <c r="D135" s="178"/>
      <c r="E135"/>
      <c r="F135" s="68"/>
      <c r="G135" s="178"/>
      <c r="H135"/>
      <c r="I135"/>
      <c r="J135" s="177"/>
      <c r="K135"/>
      <c r="L135" s="68"/>
      <c r="M135" s="177"/>
      <c r="N135" s="70"/>
      <c r="O135" s="178"/>
      <c r="P135"/>
      <c r="Q135"/>
      <c r="R135" s="178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35" customFormat="1">
      <c r="A136" s="66" t="s">
        <v>484</v>
      </c>
      <c r="B136"/>
      <c r="C136" s="68"/>
      <c r="D136" s="178"/>
      <c r="E136"/>
      <c r="F136" s="68"/>
      <c r="G136" s="178"/>
      <c r="H136"/>
      <c r="I136"/>
      <c r="J136" s="177"/>
      <c r="K136"/>
      <c r="L136" s="68"/>
      <c r="M136" s="177"/>
      <c r="N136" s="70"/>
      <c r="O136" s="178"/>
      <c r="P136"/>
      <c r="Q136"/>
      <c r="R136" s="178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35" customFormat="1">
      <c r="A137" s="66" t="s">
        <v>485</v>
      </c>
      <c r="B137"/>
      <c r="C137" s="68"/>
      <c r="D137" s="178"/>
      <c r="E137"/>
      <c r="F137" s="68"/>
      <c r="G137" s="178"/>
      <c r="H137"/>
      <c r="I137"/>
      <c r="J137" s="177"/>
      <c r="K137"/>
      <c r="L137" s="68"/>
      <c r="M137" s="177"/>
      <c r="N137" s="70"/>
      <c r="O137" s="178"/>
      <c r="P137"/>
      <c r="Q137"/>
      <c r="R137" s="178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35" customFormat="1">
      <c r="A138" s="66" t="s">
        <v>486</v>
      </c>
      <c r="B138"/>
      <c r="C138" s="68"/>
      <c r="D138" s="178"/>
      <c r="E138"/>
      <c r="F138" s="68"/>
      <c r="G138" s="178"/>
      <c r="H138"/>
      <c r="I138"/>
      <c r="J138" s="177"/>
      <c r="K138"/>
      <c r="L138" s="68"/>
      <c r="M138" s="177"/>
      <c r="N138" s="70"/>
      <c r="O138" s="178"/>
      <c r="P138"/>
      <c r="Q138"/>
      <c r="R138" s="17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35" customFormat="1">
      <c r="A139" s="66" t="s">
        <v>487</v>
      </c>
      <c r="B139"/>
      <c r="C139" s="68"/>
      <c r="D139" s="178"/>
      <c r="E139"/>
      <c r="F139" s="68"/>
      <c r="G139" s="178"/>
      <c r="H139"/>
      <c r="I139"/>
      <c r="J139" s="177"/>
      <c r="K139"/>
      <c r="L139" s="68"/>
      <c r="M139" s="177"/>
      <c r="N139" s="70"/>
      <c r="O139" s="178"/>
      <c r="P139"/>
      <c r="Q139"/>
      <c r="R139" s="178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35" customFormat="1">
      <c r="A140" s="66" t="s">
        <v>488</v>
      </c>
      <c r="B140"/>
      <c r="C140" s="68"/>
      <c r="D140" s="178"/>
      <c r="E140"/>
      <c r="F140" s="68"/>
      <c r="G140" s="178"/>
      <c r="H140"/>
      <c r="I140"/>
      <c r="J140" s="177"/>
      <c r="K140"/>
      <c r="L140" s="68"/>
      <c r="M140" s="177"/>
      <c r="N140" s="70"/>
      <c r="O140" s="178"/>
      <c r="P140"/>
      <c r="Q140"/>
      <c r="R140" s="178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35" customFormat="1">
      <c r="A141" s="66" t="s">
        <v>489</v>
      </c>
      <c r="B141"/>
      <c r="C141" s="68"/>
      <c r="D141" s="178"/>
      <c r="E141"/>
      <c r="F141" s="68"/>
      <c r="G141" s="178"/>
      <c r="H141"/>
      <c r="I141"/>
      <c r="J141" s="177"/>
      <c r="K141"/>
      <c r="L141" s="68"/>
      <c r="M141" s="177"/>
      <c r="N141" s="70"/>
      <c r="O141" s="178"/>
      <c r="P141"/>
      <c r="Q141"/>
      <c r="R141" s="178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35" customFormat="1">
      <c r="A142" s="66" t="s">
        <v>490</v>
      </c>
      <c r="B142"/>
      <c r="C142" s="68"/>
      <c r="D142" s="178"/>
      <c r="E142"/>
      <c r="F142" s="68"/>
      <c r="G142" s="178"/>
      <c r="H142"/>
      <c r="I142"/>
      <c r="J142" s="177"/>
      <c r="K142"/>
      <c r="L142" s="68"/>
      <c r="M142" s="177"/>
      <c r="N142" s="70"/>
      <c r="O142" s="178"/>
      <c r="P142"/>
      <c r="Q142"/>
      <c r="R142" s="178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35" customFormat="1">
      <c r="A143" s="66" t="s">
        <v>491</v>
      </c>
      <c r="B143"/>
      <c r="C143" s="68"/>
      <c r="D143" s="178"/>
      <c r="E143"/>
      <c r="F143" s="68"/>
      <c r="G143" s="178"/>
      <c r="H143"/>
      <c r="I143"/>
      <c r="J143" s="177"/>
      <c r="K143"/>
      <c r="L143" s="68"/>
      <c r="M143" s="177"/>
      <c r="N143" s="70"/>
      <c r="O143" s="178"/>
      <c r="P143"/>
      <c r="Q143"/>
      <c r="R143" s="178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35" customFormat="1">
      <c r="A144" s="66" t="s">
        <v>492</v>
      </c>
      <c r="B144"/>
      <c r="C144" s="68"/>
      <c r="D144" s="178"/>
      <c r="E144"/>
      <c r="F144" s="68"/>
      <c r="G144" s="178"/>
      <c r="H144"/>
      <c r="I144"/>
      <c r="J144" s="177"/>
      <c r="K144"/>
      <c r="L144" s="68"/>
      <c r="M144" s="177"/>
      <c r="N144" s="70"/>
      <c r="O144" s="178"/>
      <c r="P144"/>
      <c r="Q144"/>
      <c r="R144" s="178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35" customFormat="1">
      <c r="A145" s="66" t="s">
        <v>493</v>
      </c>
      <c r="B145"/>
      <c r="C145" s="68"/>
      <c r="D145" s="178"/>
      <c r="E145"/>
      <c r="F145" s="68"/>
      <c r="G145" s="178"/>
      <c r="H145"/>
      <c r="I145"/>
      <c r="J145" s="177"/>
      <c r="K145"/>
      <c r="L145" s="68"/>
      <c r="M145" s="177"/>
      <c r="N145" s="70"/>
      <c r="O145" s="178"/>
      <c r="P145"/>
      <c r="Q145"/>
      <c r="R145" s="178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35" customFormat="1">
      <c r="A146" s="66" t="s">
        <v>494</v>
      </c>
      <c r="B146"/>
      <c r="C146" s="68"/>
      <c r="D146" s="178"/>
      <c r="E146"/>
      <c r="F146" s="68"/>
      <c r="G146" s="178"/>
      <c r="H146"/>
      <c r="I146"/>
      <c r="J146" s="177"/>
      <c r="K146"/>
      <c r="L146" s="68"/>
      <c r="M146" s="177"/>
      <c r="N146" s="70"/>
      <c r="O146" s="178"/>
      <c r="P146"/>
      <c r="Q146"/>
      <c r="R146" s="178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35" customFormat="1">
      <c r="A147" s="66" t="s">
        <v>495</v>
      </c>
      <c r="B147"/>
      <c r="C147" s="68"/>
      <c r="D147" s="178"/>
      <c r="E147"/>
      <c r="F147" s="68"/>
      <c r="G147" s="178"/>
      <c r="H147"/>
      <c r="I147"/>
      <c r="J147" s="177"/>
      <c r="K147"/>
      <c r="L147" s="68"/>
      <c r="M147" s="177"/>
      <c r="N147" s="70"/>
      <c r="O147" s="178"/>
      <c r="P147"/>
      <c r="Q147"/>
      <c r="R147" s="178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35" customFormat="1">
      <c r="A148" s="66" t="s">
        <v>496</v>
      </c>
      <c r="B148"/>
      <c r="C148" s="68"/>
      <c r="D148" s="178"/>
      <c r="E148"/>
      <c r="F148" s="68"/>
      <c r="G148" s="178"/>
      <c r="H148"/>
      <c r="I148"/>
      <c r="J148" s="177"/>
      <c r="K148"/>
      <c r="L148" s="68"/>
      <c r="M148" s="177"/>
      <c r="N148" s="70"/>
      <c r="O148" s="178"/>
      <c r="P148"/>
      <c r="Q148"/>
      <c r="R148" s="17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35" customFormat="1">
      <c r="A149" s="66" t="s">
        <v>497</v>
      </c>
      <c r="B149"/>
      <c r="C149" s="68"/>
      <c r="D149" s="178"/>
      <c r="E149"/>
      <c r="F149" s="68"/>
      <c r="G149" s="178"/>
      <c r="H149"/>
      <c r="I149"/>
      <c r="J149" s="177"/>
      <c r="K149"/>
      <c r="L149" s="68"/>
      <c r="M149" s="177"/>
      <c r="N149" s="70"/>
      <c r="O149" s="178"/>
      <c r="P149"/>
      <c r="Q149"/>
      <c r="R149" s="178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35" customFormat="1">
      <c r="A150" s="66" t="s">
        <v>498</v>
      </c>
      <c r="B150"/>
      <c r="C150" s="68"/>
      <c r="D150" s="178"/>
      <c r="E150"/>
      <c r="F150" s="68"/>
      <c r="G150" s="178"/>
      <c r="H150"/>
      <c r="I150"/>
      <c r="J150" s="177"/>
      <c r="K150"/>
      <c r="L150" s="68"/>
      <c r="M150" s="177"/>
      <c r="N150" s="70"/>
      <c r="O150" s="178"/>
      <c r="P150"/>
      <c r="Q150"/>
      <c r="R150" s="178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35" customFormat="1">
      <c r="A151" s="66" t="s">
        <v>499</v>
      </c>
      <c r="B151"/>
      <c r="C151" s="68"/>
      <c r="D151" s="178"/>
      <c r="E151"/>
      <c r="F151" s="68"/>
      <c r="G151" s="178"/>
      <c r="H151"/>
      <c r="I151"/>
      <c r="J151" s="177"/>
      <c r="K151"/>
      <c r="L151" s="68"/>
      <c r="M151" s="177"/>
      <c r="N151" s="70"/>
      <c r="O151" s="178"/>
      <c r="P151"/>
      <c r="Q151"/>
      <c r="R151" s="178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35" customFormat="1">
      <c r="A152" s="66" t="s">
        <v>500</v>
      </c>
      <c r="B152"/>
      <c r="C152" s="68"/>
      <c r="D152" s="178"/>
      <c r="E152"/>
      <c r="F152" s="68"/>
      <c r="G152" s="178"/>
      <c r="H152"/>
      <c r="I152"/>
      <c r="J152" s="177"/>
      <c r="K152"/>
      <c r="L152" s="68"/>
      <c r="M152" s="177"/>
      <c r="N152" s="70"/>
      <c r="O152" s="178"/>
      <c r="P152"/>
      <c r="Q152"/>
      <c r="R152" s="178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35" customFormat="1">
      <c r="A153" s="66" t="s">
        <v>501</v>
      </c>
      <c r="B153"/>
      <c r="C153" s="68"/>
      <c r="D153" s="178"/>
      <c r="E153"/>
      <c r="F153" s="68"/>
      <c r="G153" s="178"/>
      <c r="H153"/>
      <c r="I153"/>
      <c r="J153" s="177"/>
      <c r="K153"/>
      <c r="L153" s="68"/>
      <c r="M153" s="177"/>
      <c r="N153" s="70"/>
      <c r="O153" s="178"/>
      <c r="P153"/>
      <c r="Q153"/>
      <c r="R153" s="178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35" customFormat="1">
      <c r="A154" s="66" t="s">
        <v>502</v>
      </c>
      <c r="B154"/>
      <c r="C154" s="68"/>
      <c r="D154" s="178"/>
      <c r="E154"/>
      <c r="F154" s="68"/>
      <c r="G154" s="178"/>
      <c r="H154"/>
      <c r="I154"/>
      <c r="J154" s="177"/>
      <c r="K154"/>
      <c r="L154" s="68"/>
      <c r="M154" s="177"/>
      <c r="N154" s="70"/>
      <c r="O154" s="178"/>
      <c r="P154"/>
      <c r="Q154"/>
      <c r="R154" s="178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s="35" customFormat="1">
      <c r="A155" s="66" t="s">
        <v>503</v>
      </c>
      <c r="B155"/>
      <c r="C155" s="68"/>
      <c r="D155" s="178"/>
      <c r="E155"/>
      <c r="F155" s="68"/>
      <c r="G155" s="178"/>
      <c r="H155"/>
      <c r="I155"/>
      <c r="J155" s="177"/>
      <c r="K155"/>
      <c r="L155" s="68"/>
      <c r="M155" s="177"/>
      <c r="N155" s="70"/>
      <c r="O155" s="178"/>
      <c r="P155"/>
      <c r="Q155"/>
      <c r="R155" s="178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s="35" customFormat="1">
      <c r="A156" s="66" t="s">
        <v>504</v>
      </c>
      <c r="B156"/>
      <c r="C156" s="68"/>
      <c r="D156" s="178"/>
      <c r="E156"/>
      <c r="F156" s="68"/>
      <c r="G156" s="178"/>
      <c r="H156"/>
      <c r="I156"/>
      <c r="J156" s="177"/>
      <c r="K156"/>
      <c r="L156" s="68"/>
      <c r="M156" s="177"/>
      <c r="N156" s="70"/>
      <c r="O156" s="178"/>
      <c r="P156"/>
      <c r="Q156"/>
      <c r="R156" s="178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35" customFormat="1">
      <c r="A157" s="66" t="s">
        <v>505</v>
      </c>
      <c r="B157"/>
      <c r="C157" s="68"/>
      <c r="D157" s="178"/>
      <c r="E157"/>
      <c r="F157" s="68"/>
      <c r="G157" s="178"/>
      <c r="H157"/>
      <c r="I157"/>
      <c r="J157" s="177"/>
      <c r="K157"/>
      <c r="L157" s="68"/>
      <c r="M157" s="177"/>
      <c r="N157" s="70"/>
      <c r="O157" s="178"/>
      <c r="P157"/>
      <c r="Q157"/>
      <c r="R157" s="178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35" customFormat="1">
      <c r="A158" s="66" t="s">
        <v>506</v>
      </c>
      <c r="B158"/>
      <c r="C158" s="68"/>
      <c r="D158" s="178"/>
      <c r="E158"/>
      <c r="F158" s="68"/>
      <c r="G158" s="178"/>
      <c r="H158"/>
      <c r="I158"/>
      <c r="J158" s="177"/>
      <c r="K158"/>
      <c r="L158" s="68"/>
      <c r="M158" s="177"/>
      <c r="N158" s="70"/>
      <c r="O158" s="178"/>
      <c r="P158"/>
      <c r="Q158"/>
      <c r="R158" s="17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35" customFormat="1">
      <c r="A159" s="66" t="s">
        <v>507</v>
      </c>
      <c r="B159"/>
      <c r="C159" s="68"/>
      <c r="D159" s="178"/>
      <c r="E159"/>
      <c r="F159" s="68"/>
      <c r="G159" s="178"/>
      <c r="H159"/>
      <c r="I159"/>
      <c r="J159" s="177"/>
      <c r="K159"/>
      <c r="L159" s="68"/>
      <c r="M159" s="177"/>
      <c r="N159" s="70"/>
      <c r="O159" s="178"/>
      <c r="P159"/>
      <c r="Q159"/>
      <c r="R159" s="178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35" customFormat="1">
      <c r="A160" s="66" t="s">
        <v>508</v>
      </c>
      <c r="B160"/>
      <c r="C160" s="68"/>
      <c r="D160" s="178"/>
      <c r="E160"/>
      <c r="F160" s="68"/>
      <c r="G160" s="178"/>
      <c r="H160"/>
      <c r="I160"/>
      <c r="J160" s="177"/>
      <c r="K160"/>
      <c r="L160" s="68"/>
      <c r="M160" s="177"/>
      <c r="N160" s="70"/>
      <c r="O160" s="178"/>
      <c r="P160"/>
      <c r="Q160"/>
      <c r="R160" s="178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s="35" customFormat="1">
      <c r="A161" s="66" t="s">
        <v>509</v>
      </c>
      <c r="B161"/>
      <c r="C161" s="68"/>
      <c r="D161" s="178"/>
      <c r="E161"/>
      <c r="F161" s="68"/>
      <c r="G161" s="178"/>
      <c r="H161"/>
      <c r="I161"/>
      <c r="J161" s="177"/>
      <c r="K161"/>
      <c r="L161" s="68"/>
      <c r="M161" s="177"/>
      <c r="N161" s="70"/>
      <c r="O161" s="178"/>
      <c r="P161"/>
      <c r="Q161"/>
      <c r="R161" s="178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35" customFormat="1">
      <c r="A162" s="66" t="s">
        <v>510</v>
      </c>
      <c r="B162"/>
      <c r="C162" s="68"/>
      <c r="D162" s="178"/>
      <c r="E162"/>
      <c r="F162" s="68"/>
      <c r="G162" s="178"/>
      <c r="H162"/>
      <c r="I162"/>
      <c r="J162" s="177"/>
      <c r="K162"/>
      <c r="L162" s="68"/>
      <c r="M162" s="177"/>
      <c r="N162" s="70"/>
      <c r="O162" s="178"/>
      <c r="P162"/>
      <c r="Q162"/>
      <c r="R162" s="178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35" customFormat="1">
      <c r="A163" s="66" t="s">
        <v>511</v>
      </c>
      <c r="B163"/>
      <c r="C163" s="68"/>
      <c r="D163" s="178"/>
      <c r="E163"/>
      <c r="F163" s="68"/>
      <c r="G163" s="178"/>
      <c r="H163"/>
      <c r="I163"/>
      <c r="J163" s="177"/>
      <c r="K163"/>
      <c r="L163" s="68"/>
      <c r="M163" s="177"/>
      <c r="N163" s="70"/>
      <c r="O163" s="178"/>
      <c r="P163"/>
      <c r="Q163"/>
      <c r="R163" s="178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35" customFormat="1">
      <c r="A164" s="66" t="s">
        <v>512</v>
      </c>
      <c r="B164"/>
      <c r="C164" s="68"/>
      <c r="D164" s="178"/>
      <c r="E164"/>
      <c r="F164" s="68"/>
      <c r="G164" s="178"/>
      <c r="H164"/>
      <c r="I164"/>
      <c r="J164" s="177"/>
      <c r="K164"/>
      <c r="L164" s="68"/>
      <c r="M164" s="177"/>
      <c r="N164" s="70"/>
      <c r="O164" s="178"/>
      <c r="P164"/>
      <c r="Q164"/>
      <c r="R164" s="178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s="35" customFormat="1">
      <c r="A165" s="66" t="s">
        <v>513</v>
      </c>
      <c r="B165"/>
      <c r="C165" s="68"/>
      <c r="D165" s="178"/>
      <c r="E165"/>
      <c r="F165" s="68"/>
      <c r="G165" s="178"/>
      <c r="H165"/>
      <c r="I165"/>
      <c r="J165" s="177"/>
      <c r="K165"/>
      <c r="L165" s="68"/>
      <c r="M165" s="177"/>
      <c r="N165" s="70"/>
      <c r="O165" s="178"/>
      <c r="P165"/>
      <c r="Q165"/>
      <c r="R165" s="178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s="35" customFormat="1">
      <c r="A166" s="66" t="s">
        <v>514</v>
      </c>
      <c r="B166"/>
      <c r="C166" s="68"/>
      <c r="D166" s="178"/>
      <c r="E166"/>
      <c r="F166" s="68"/>
      <c r="G166" s="178"/>
      <c r="H166"/>
      <c r="I166"/>
      <c r="J166" s="177"/>
      <c r="K166"/>
      <c r="L166" s="68"/>
      <c r="M166" s="177"/>
      <c r="N166" s="70"/>
      <c r="O166" s="178"/>
      <c r="P166"/>
      <c r="Q166"/>
      <c r="R166" s="178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s="35" customFormat="1">
      <c r="A167" s="66" t="s">
        <v>515</v>
      </c>
      <c r="B167"/>
      <c r="C167" s="68"/>
      <c r="D167" s="178"/>
      <c r="E167"/>
      <c r="F167" s="68"/>
      <c r="G167" s="178"/>
      <c r="H167"/>
      <c r="I167"/>
      <c r="J167" s="177"/>
      <c r="K167"/>
      <c r="L167" s="68"/>
      <c r="M167" s="177"/>
      <c r="N167" s="70"/>
      <c r="O167" s="178"/>
      <c r="P167"/>
      <c r="Q167"/>
      <c r="R167" s="178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s="35" customFormat="1">
      <c r="A168" s="66" t="s">
        <v>516</v>
      </c>
      <c r="B168"/>
      <c r="C168" s="68"/>
      <c r="D168" s="178"/>
      <c r="E168"/>
      <c r="F168" s="68"/>
      <c r="G168" s="178"/>
      <c r="H168"/>
      <c r="I168"/>
      <c r="J168" s="177"/>
      <c r="K168"/>
      <c r="L168" s="68"/>
      <c r="M168" s="177"/>
      <c r="N168" s="70"/>
      <c r="O168" s="178"/>
      <c r="P168"/>
      <c r="Q168"/>
      <c r="R168" s="17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s="35" customFormat="1">
      <c r="A169" s="66" t="s">
        <v>517</v>
      </c>
      <c r="B169"/>
      <c r="C169" s="68"/>
      <c r="D169" s="178"/>
      <c r="E169"/>
      <c r="F169" s="68"/>
      <c r="G169" s="178"/>
      <c r="H169"/>
      <c r="I169"/>
      <c r="J169" s="177"/>
      <c r="K169"/>
      <c r="L169" s="68"/>
      <c r="M169" s="177"/>
      <c r="N169" s="70"/>
      <c r="O169" s="178"/>
      <c r="P169"/>
      <c r="Q169"/>
      <c r="R169" s="178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s="35" customFormat="1">
      <c r="A170" s="66" t="s">
        <v>518</v>
      </c>
      <c r="B170"/>
      <c r="C170" s="68"/>
      <c r="D170" s="178"/>
      <c r="E170"/>
      <c r="F170" s="68"/>
      <c r="G170" s="178"/>
      <c r="H170"/>
      <c r="I170"/>
      <c r="J170" s="177"/>
      <c r="K170"/>
      <c r="L170" s="68"/>
      <c r="M170" s="177"/>
      <c r="N170" s="70"/>
      <c r="O170" s="178"/>
      <c r="P170"/>
      <c r="Q170"/>
      <c r="R170" s="178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s="35" customFormat="1">
      <c r="A171" s="66" t="s">
        <v>519</v>
      </c>
      <c r="B171"/>
      <c r="C171" s="68"/>
      <c r="D171" s="178"/>
      <c r="E171"/>
      <c r="F171" s="68"/>
      <c r="G171" s="178"/>
      <c r="H171"/>
      <c r="I171"/>
      <c r="J171" s="177"/>
      <c r="K171"/>
      <c r="L171" s="68"/>
      <c r="M171" s="177"/>
      <c r="N171" s="70"/>
      <c r="O171" s="178"/>
      <c r="P171"/>
      <c r="Q171"/>
      <c r="R171" s="178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35" customFormat="1">
      <c r="A172" s="66" t="s">
        <v>520</v>
      </c>
      <c r="B172"/>
      <c r="C172" s="68"/>
      <c r="D172" s="178"/>
      <c r="E172"/>
      <c r="F172" s="68"/>
      <c r="G172" s="178"/>
      <c r="H172"/>
      <c r="I172"/>
      <c r="J172" s="177"/>
      <c r="K172"/>
      <c r="L172" s="68"/>
      <c r="M172" s="177"/>
      <c r="N172" s="70"/>
      <c r="O172" s="178"/>
      <c r="P172"/>
      <c r="Q172"/>
      <c r="R172" s="178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s="35" customFormat="1">
      <c r="A173" s="66" t="s">
        <v>521</v>
      </c>
      <c r="B173"/>
      <c r="C173" s="68"/>
      <c r="D173" s="178"/>
      <c r="E173"/>
      <c r="F173" s="68"/>
      <c r="G173" s="178"/>
      <c r="H173"/>
      <c r="I173"/>
      <c r="J173" s="177"/>
      <c r="K173"/>
      <c r="L173" s="68"/>
      <c r="M173" s="177"/>
      <c r="N173" s="70"/>
      <c r="O173" s="178"/>
      <c r="P173"/>
      <c r="Q173"/>
      <c r="R173" s="178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s="35" customFormat="1">
      <c r="A174" s="66" t="s">
        <v>522</v>
      </c>
      <c r="B174"/>
      <c r="C174" s="68"/>
      <c r="D174" s="178"/>
      <c r="E174"/>
      <c r="F174" s="68"/>
      <c r="G174" s="178"/>
      <c r="H174"/>
      <c r="I174"/>
      <c r="J174" s="177"/>
      <c r="K174"/>
      <c r="L174" s="68"/>
      <c r="M174" s="177"/>
      <c r="N174" s="70"/>
      <c r="O174" s="178"/>
      <c r="P174"/>
      <c r="Q174"/>
      <c r="R174" s="178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s="35" customFormat="1">
      <c r="A175" s="66" t="s">
        <v>523</v>
      </c>
      <c r="B175"/>
      <c r="C175" s="68"/>
      <c r="D175" s="178"/>
      <c r="E175"/>
      <c r="F175" s="68"/>
      <c r="G175" s="178"/>
      <c r="H175"/>
      <c r="I175"/>
      <c r="J175" s="177"/>
      <c r="K175"/>
      <c r="L175" s="68"/>
      <c r="M175" s="177"/>
      <c r="N175" s="70"/>
      <c r="O175" s="178"/>
      <c r="P175"/>
      <c r="Q175"/>
      <c r="R175" s="178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s="35" customFormat="1">
      <c r="A176" s="66" t="s">
        <v>524</v>
      </c>
      <c r="B176"/>
      <c r="C176" s="68"/>
      <c r="D176" s="178"/>
      <c r="E176"/>
      <c r="F176" s="68"/>
      <c r="G176" s="178"/>
      <c r="H176"/>
      <c r="I176"/>
      <c r="J176" s="177"/>
      <c r="K176"/>
      <c r="L176" s="68"/>
      <c r="M176" s="177"/>
      <c r="N176" s="70"/>
      <c r="O176" s="178"/>
      <c r="P176"/>
      <c r="Q176"/>
      <c r="R176" s="178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s="35" customFormat="1">
      <c r="A177" s="66" t="s">
        <v>525</v>
      </c>
      <c r="B177"/>
      <c r="C177" s="68"/>
      <c r="D177" s="178"/>
      <c r="E177"/>
      <c r="F177" s="68"/>
      <c r="G177" s="178"/>
      <c r="H177"/>
      <c r="I177"/>
      <c r="J177" s="177"/>
      <c r="K177"/>
      <c r="L177" s="68"/>
      <c r="M177" s="177"/>
      <c r="N177" s="70"/>
      <c r="O177" s="178"/>
      <c r="P177"/>
      <c r="Q177"/>
      <c r="R177" s="178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s="35" customFormat="1">
      <c r="A178" s="66" t="s">
        <v>526</v>
      </c>
      <c r="B178"/>
      <c r="C178" s="68"/>
      <c r="D178" s="178"/>
      <c r="E178"/>
      <c r="F178" s="68"/>
      <c r="G178" s="178"/>
      <c r="H178"/>
      <c r="I178"/>
      <c r="J178" s="177"/>
      <c r="K178"/>
      <c r="L178" s="68"/>
      <c r="M178" s="177"/>
      <c r="N178" s="70"/>
      <c r="O178" s="178"/>
      <c r="P178"/>
      <c r="Q178"/>
      <c r="R178" s="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s="35" customFormat="1">
      <c r="A179" s="66" t="s">
        <v>527</v>
      </c>
      <c r="B179"/>
      <c r="C179" s="68"/>
      <c r="D179" s="178"/>
      <c r="E179"/>
      <c r="F179" s="68"/>
      <c r="G179" s="178"/>
      <c r="H179"/>
      <c r="I179"/>
      <c r="J179" s="177"/>
      <c r="K179"/>
      <c r="L179" s="68"/>
      <c r="M179" s="177"/>
      <c r="N179" s="70"/>
      <c r="O179" s="178"/>
      <c r="P179"/>
      <c r="Q179"/>
      <c r="R179" s="178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s="35" customFormat="1">
      <c r="A180" s="66" t="s">
        <v>528</v>
      </c>
      <c r="B180"/>
      <c r="C180" s="68"/>
      <c r="D180" s="178"/>
      <c r="E180"/>
      <c r="F180" s="68"/>
      <c r="G180" s="178"/>
      <c r="H180"/>
      <c r="I180"/>
      <c r="J180" s="177"/>
      <c r="K180"/>
      <c r="L180" s="68"/>
      <c r="M180" s="177"/>
      <c r="N180" s="70"/>
      <c r="O180" s="178"/>
      <c r="P180"/>
      <c r="Q180"/>
      <c r="R180" s="178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s="35" customFormat="1">
      <c r="A181" s="66" t="s">
        <v>529</v>
      </c>
      <c r="B181"/>
      <c r="C181" s="68"/>
      <c r="D181" s="178"/>
      <c r="E181"/>
      <c r="F181" s="68"/>
      <c r="G181" s="178"/>
      <c r="H181"/>
      <c r="I181"/>
      <c r="J181" s="177"/>
      <c r="K181"/>
      <c r="L181" s="68"/>
      <c r="M181" s="177"/>
      <c r="N181" s="70"/>
      <c r="O181" s="178"/>
      <c r="P181"/>
      <c r="Q181"/>
      <c r="R181" s="178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s="35" customFormat="1">
      <c r="A182" s="66" t="s">
        <v>530</v>
      </c>
      <c r="B182"/>
      <c r="C182" s="68"/>
      <c r="D182" s="178"/>
      <c r="E182"/>
      <c r="F182" s="68"/>
      <c r="G182" s="178"/>
      <c r="H182"/>
      <c r="I182"/>
      <c r="J182" s="177"/>
      <c r="K182"/>
      <c r="L182" s="68"/>
      <c r="M182" s="177"/>
      <c r="N182" s="70"/>
      <c r="O182" s="178"/>
      <c r="P182"/>
      <c r="Q182"/>
      <c r="R182" s="178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s="35" customFormat="1">
      <c r="A183" s="66" t="s">
        <v>531</v>
      </c>
      <c r="B183"/>
      <c r="C183" s="68"/>
      <c r="D183" s="178"/>
      <c r="E183"/>
      <c r="F183" s="68"/>
      <c r="G183" s="178"/>
      <c r="H183"/>
      <c r="I183"/>
      <c r="J183" s="177"/>
      <c r="K183"/>
      <c r="L183" s="68"/>
      <c r="M183" s="177"/>
      <c r="N183" s="70"/>
      <c r="O183" s="178"/>
      <c r="P183"/>
      <c r="Q183"/>
      <c r="R183" s="178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s="35" customFormat="1">
      <c r="A184" s="66" t="s">
        <v>532</v>
      </c>
      <c r="B184"/>
      <c r="C184" s="68"/>
      <c r="D184" s="178"/>
      <c r="E184"/>
      <c r="F184" s="68"/>
      <c r="G184" s="178"/>
      <c r="H184"/>
      <c r="I184"/>
      <c r="J184" s="177"/>
      <c r="K184"/>
      <c r="L184" s="68"/>
      <c r="M184" s="177"/>
      <c r="N184" s="70"/>
      <c r="O184" s="178"/>
      <c r="P184"/>
      <c r="Q184"/>
      <c r="R184" s="178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s="35" customFormat="1">
      <c r="A185" s="66" t="s">
        <v>356</v>
      </c>
      <c r="B185"/>
      <c r="C185" s="68"/>
      <c r="D185" s="178"/>
      <c r="E185"/>
      <c r="F185" s="68"/>
      <c r="G185" s="178"/>
      <c r="H185"/>
      <c r="I185"/>
      <c r="J185" s="177"/>
      <c r="K185"/>
      <c r="L185" s="68"/>
      <c r="M185" s="177"/>
      <c r="N185" s="70"/>
      <c r="O185" s="178"/>
      <c r="P185"/>
      <c r="Q185"/>
      <c r="R185" s="178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s="35" customFormat="1">
      <c r="A186" s="66" t="s">
        <v>357</v>
      </c>
      <c r="B186"/>
      <c r="C186" s="68"/>
      <c r="D186" s="178"/>
      <c r="E186"/>
      <c r="F186" s="68"/>
      <c r="G186" s="178"/>
      <c r="H186"/>
      <c r="I186"/>
      <c r="J186" s="177"/>
      <c r="K186"/>
      <c r="L186" s="68"/>
      <c r="M186" s="177"/>
      <c r="N186" s="70"/>
      <c r="O186" s="178"/>
      <c r="P186"/>
      <c r="Q186"/>
      <c r="R186" s="178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s="35" customFormat="1">
      <c r="A187" s="66" t="s">
        <v>360</v>
      </c>
      <c r="B187"/>
      <c r="C187" s="68"/>
      <c r="D187" s="178"/>
      <c r="E187"/>
      <c r="F187" s="68"/>
      <c r="G187" s="178"/>
      <c r="H187"/>
      <c r="I187"/>
      <c r="J187" s="177"/>
      <c r="K187"/>
      <c r="L187" s="68"/>
      <c r="M187" s="177"/>
      <c r="N187" s="70"/>
      <c r="O187" s="178"/>
      <c r="P187"/>
      <c r="Q187"/>
      <c r="R187" s="178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s="35" customFormat="1">
      <c r="A188" s="66" t="s">
        <v>361</v>
      </c>
      <c r="B188"/>
      <c r="C188" s="68"/>
      <c r="D188" s="178"/>
      <c r="E188"/>
      <c r="F188" s="68"/>
      <c r="G188" s="178"/>
      <c r="H188"/>
      <c r="I188"/>
      <c r="J188" s="177"/>
      <c r="K188"/>
      <c r="L188" s="68"/>
      <c r="M188" s="177"/>
      <c r="N188" s="70"/>
      <c r="O188" s="178"/>
      <c r="P188"/>
      <c r="Q188"/>
      <c r="R188" s="17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s="35" customFormat="1">
      <c r="A189" s="66" t="s">
        <v>362</v>
      </c>
      <c r="B189"/>
      <c r="C189" s="68"/>
      <c r="D189" s="178"/>
      <c r="E189"/>
      <c r="F189" s="68"/>
      <c r="G189" s="178"/>
      <c r="H189"/>
      <c r="I189"/>
      <c r="J189" s="177"/>
      <c r="K189"/>
      <c r="L189" s="68"/>
      <c r="M189" s="177"/>
      <c r="N189" s="70"/>
      <c r="O189" s="178"/>
      <c r="P189"/>
      <c r="Q189"/>
      <c r="R189" s="178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s="35" customFormat="1">
      <c r="A190" s="66" t="s">
        <v>390</v>
      </c>
      <c r="B190"/>
      <c r="C190" s="68"/>
      <c r="D190" s="178"/>
      <c r="E190"/>
      <c r="F190" s="68"/>
      <c r="G190" s="178"/>
      <c r="H190"/>
      <c r="I190"/>
      <c r="J190" s="177"/>
      <c r="K190"/>
      <c r="L190" s="68"/>
      <c r="M190" s="177"/>
      <c r="N190" s="70"/>
      <c r="O190" s="178"/>
      <c r="P190"/>
      <c r="Q190"/>
      <c r="R190" s="178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s="35" customFormat="1">
      <c r="A191" s="66" t="s">
        <v>363</v>
      </c>
      <c r="B191"/>
      <c r="C191" s="68"/>
      <c r="D191" s="178"/>
      <c r="E191"/>
      <c r="F191" s="68"/>
      <c r="G191" s="178"/>
      <c r="H191"/>
      <c r="I191"/>
      <c r="J191" s="177"/>
      <c r="K191"/>
      <c r="L191" s="68"/>
      <c r="M191" s="177"/>
      <c r="N191" s="70"/>
      <c r="O191" s="178"/>
      <c r="P191"/>
      <c r="Q191"/>
      <c r="R191" s="178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s="35" customFormat="1">
      <c r="A192" s="66" t="s">
        <v>364</v>
      </c>
      <c r="B192"/>
      <c r="C192" s="68"/>
      <c r="D192" s="178"/>
      <c r="E192"/>
      <c r="F192" s="68"/>
      <c r="G192" s="178"/>
      <c r="H192"/>
      <c r="I192"/>
      <c r="J192" s="177"/>
      <c r="K192"/>
      <c r="L192" s="68"/>
      <c r="M192" s="177"/>
      <c r="N192" s="70"/>
      <c r="O192" s="178"/>
      <c r="P192"/>
      <c r="Q192"/>
      <c r="R192" s="178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s="35" customFormat="1">
      <c r="A193" s="66" t="s">
        <v>391</v>
      </c>
      <c r="B193"/>
      <c r="C193" s="68"/>
      <c r="D193" s="178"/>
      <c r="E193"/>
      <c r="F193" s="68"/>
      <c r="G193" s="178"/>
      <c r="H193"/>
      <c r="I193"/>
      <c r="J193" s="177"/>
      <c r="K193"/>
      <c r="L193" s="68"/>
      <c r="M193" s="177"/>
      <c r="N193" s="70"/>
      <c r="O193" s="178"/>
      <c r="P193"/>
      <c r="Q193"/>
      <c r="R193" s="178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s="35" customFormat="1">
      <c r="A194" s="66" t="s">
        <v>533</v>
      </c>
      <c r="B194"/>
      <c r="C194" s="68"/>
      <c r="D194" s="178"/>
      <c r="E194"/>
      <c r="F194" s="68"/>
      <c r="G194" s="178"/>
      <c r="H194"/>
      <c r="I194"/>
      <c r="J194" s="177"/>
      <c r="K194"/>
      <c r="L194" s="68"/>
      <c r="M194" s="177"/>
      <c r="N194" s="70"/>
      <c r="O194" s="178"/>
      <c r="P194"/>
      <c r="Q194"/>
      <c r="R194" s="178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s="35" customFormat="1">
      <c r="A195" s="66" t="s">
        <v>534</v>
      </c>
      <c r="B195"/>
      <c r="C195" s="68"/>
      <c r="D195" s="178"/>
      <c r="E195"/>
      <c r="F195" s="68"/>
      <c r="G195" s="178"/>
      <c r="H195"/>
      <c r="I195"/>
      <c r="J195" s="177"/>
      <c r="K195"/>
      <c r="L195" s="68"/>
      <c r="M195" s="177"/>
      <c r="N195" s="70"/>
      <c r="O195" s="178"/>
      <c r="P195"/>
      <c r="Q195"/>
      <c r="R195" s="178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s="35" customFormat="1">
      <c r="A196" s="66" t="s">
        <v>535</v>
      </c>
      <c r="B196"/>
      <c r="C196" s="68"/>
      <c r="D196" s="178"/>
      <c r="E196"/>
      <c r="F196" s="68"/>
      <c r="G196" s="178"/>
      <c r="H196"/>
      <c r="I196"/>
      <c r="J196" s="177"/>
      <c r="K196"/>
      <c r="L196" s="68"/>
      <c r="M196" s="177"/>
      <c r="N196" s="70"/>
      <c r="O196" s="178"/>
      <c r="P196"/>
      <c r="Q196"/>
      <c r="R196" s="178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s="35" customFormat="1">
      <c r="A197" s="66" t="s">
        <v>536</v>
      </c>
      <c r="B197"/>
      <c r="C197" s="68"/>
      <c r="D197" s="178"/>
      <c r="E197"/>
      <c r="F197" s="68"/>
      <c r="G197" s="178"/>
      <c r="H197"/>
      <c r="I197"/>
      <c r="J197" s="177"/>
      <c r="K197"/>
      <c r="L197" s="68"/>
      <c r="M197" s="177"/>
      <c r="N197" s="70"/>
      <c r="O197" s="178"/>
      <c r="P197"/>
      <c r="Q197"/>
      <c r="R197" s="178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s="35" customFormat="1">
      <c r="A198" s="66" t="s">
        <v>537</v>
      </c>
      <c r="B198"/>
      <c r="C198" s="68"/>
      <c r="D198" s="178"/>
      <c r="E198"/>
      <c r="F198" s="68"/>
      <c r="G198" s="178"/>
      <c r="H198"/>
      <c r="I198"/>
      <c r="J198" s="177"/>
      <c r="K198"/>
      <c r="L198" s="68"/>
      <c r="M198" s="177"/>
      <c r="N198" s="70"/>
      <c r="O198" s="178"/>
      <c r="P198"/>
      <c r="Q198"/>
      <c r="R198" s="17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s="35" customFormat="1">
      <c r="A199" s="66" t="s">
        <v>538</v>
      </c>
      <c r="B199"/>
      <c r="C199" s="68"/>
      <c r="D199" s="178"/>
      <c r="E199"/>
      <c r="F199" s="68"/>
      <c r="G199" s="178"/>
      <c r="H199"/>
      <c r="I199"/>
      <c r="J199" s="177"/>
      <c r="K199"/>
      <c r="L199" s="68"/>
      <c r="M199" s="177"/>
      <c r="N199" s="70"/>
      <c r="O199" s="178"/>
      <c r="P199"/>
      <c r="Q199"/>
      <c r="R199" s="178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s="35" customFormat="1">
      <c r="A200" s="66" t="s">
        <v>539</v>
      </c>
      <c r="B200"/>
      <c r="C200" s="68"/>
      <c r="D200" s="178"/>
      <c r="E200"/>
      <c r="F200" s="68"/>
      <c r="G200" s="178"/>
      <c r="H200"/>
      <c r="I200"/>
      <c r="J200" s="177"/>
      <c r="K200"/>
      <c r="L200" s="68"/>
      <c r="M200" s="177"/>
      <c r="N200" s="70"/>
      <c r="O200" s="178"/>
      <c r="P200"/>
      <c r="Q200"/>
      <c r="R200" s="178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s="35" customFormat="1">
      <c r="A201" s="66" t="s">
        <v>540</v>
      </c>
      <c r="B201"/>
      <c r="C201" s="68"/>
      <c r="D201" s="178"/>
      <c r="E201"/>
      <c r="F201" s="68"/>
      <c r="G201" s="178"/>
      <c r="H201"/>
      <c r="I201"/>
      <c r="J201" s="177"/>
      <c r="K201"/>
      <c r="L201" s="68"/>
      <c r="M201" s="177"/>
      <c r="N201" s="70"/>
      <c r="O201" s="178"/>
      <c r="P201"/>
      <c r="Q201"/>
      <c r="R201" s="178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s="35" customFormat="1">
      <c r="A202" s="66" t="s">
        <v>541</v>
      </c>
      <c r="B202"/>
      <c r="C202" s="68"/>
      <c r="D202" s="178"/>
      <c r="E202"/>
      <c r="F202" s="68"/>
      <c r="G202" s="178"/>
      <c r="H202"/>
      <c r="I202"/>
      <c r="J202" s="177"/>
      <c r="K202"/>
      <c r="L202" s="68"/>
      <c r="M202" s="177"/>
      <c r="N202" s="70"/>
      <c r="O202" s="178"/>
      <c r="P202"/>
      <c r="Q202"/>
      <c r="R202" s="178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s="35" customFormat="1">
      <c r="A203" s="66" t="s">
        <v>542</v>
      </c>
      <c r="B203"/>
      <c r="C203" s="68"/>
      <c r="D203" s="178"/>
      <c r="E203"/>
      <c r="F203" s="68"/>
      <c r="G203" s="178"/>
      <c r="H203"/>
      <c r="I203"/>
      <c r="J203" s="177"/>
      <c r="K203"/>
      <c r="L203" s="68"/>
      <c r="M203" s="177"/>
      <c r="N203" s="70"/>
      <c r="O203" s="178"/>
      <c r="P203"/>
      <c r="Q203"/>
      <c r="R203" s="178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s="35" customFormat="1">
      <c r="A204" s="66" t="s">
        <v>543</v>
      </c>
      <c r="B204"/>
      <c r="C204" s="68"/>
      <c r="D204" s="178"/>
      <c r="E204"/>
      <c r="F204" s="68"/>
      <c r="G204" s="178"/>
      <c r="H204"/>
      <c r="I204"/>
      <c r="J204" s="177"/>
      <c r="K204"/>
      <c r="L204" s="68"/>
      <c r="M204" s="177"/>
      <c r="N204" s="70"/>
      <c r="O204" s="178"/>
      <c r="P204"/>
      <c r="Q204"/>
      <c r="R204" s="178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s="35" customFormat="1">
      <c r="A205" s="66" t="s">
        <v>544</v>
      </c>
      <c r="B205"/>
      <c r="C205" s="68"/>
      <c r="D205" s="178"/>
      <c r="E205"/>
      <c r="F205" s="68"/>
      <c r="G205" s="178"/>
      <c r="H205"/>
      <c r="I205"/>
      <c r="J205" s="177"/>
      <c r="K205"/>
      <c r="L205" s="68"/>
      <c r="M205" s="177"/>
      <c r="N205" s="70"/>
      <c r="O205" s="178"/>
      <c r="P205"/>
      <c r="Q205"/>
      <c r="R205" s="178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s="35" customFormat="1">
      <c r="A206" s="66" t="s">
        <v>545</v>
      </c>
      <c r="B206"/>
      <c r="C206" s="68"/>
      <c r="D206" s="178"/>
      <c r="E206"/>
      <c r="F206" s="68"/>
      <c r="G206" s="178"/>
      <c r="H206"/>
      <c r="I206"/>
      <c r="J206" s="177"/>
      <c r="K206"/>
      <c r="L206" s="68"/>
      <c r="M206" s="177"/>
      <c r="N206" s="70"/>
      <c r="O206" s="178"/>
      <c r="P206"/>
      <c r="Q206"/>
      <c r="R206" s="178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s="35" customFormat="1">
      <c r="A207" s="66" t="s">
        <v>546</v>
      </c>
      <c r="B207"/>
      <c r="C207" s="68"/>
      <c r="D207" s="178"/>
      <c r="E207"/>
      <c r="F207" s="68"/>
      <c r="G207" s="178"/>
      <c r="H207"/>
      <c r="I207"/>
      <c r="J207" s="177"/>
      <c r="K207"/>
      <c r="L207" s="68"/>
      <c r="M207" s="177"/>
      <c r="N207" s="70"/>
      <c r="O207" s="178"/>
      <c r="P207"/>
      <c r="Q207"/>
      <c r="R207" s="178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s="35" customFormat="1">
      <c r="A208" s="66" t="s">
        <v>547</v>
      </c>
      <c r="B208"/>
      <c r="C208" s="68"/>
      <c r="D208" s="178"/>
      <c r="E208"/>
      <c r="F208" s="68"/>
      <c r="G208" s="178"/>
      <c r="H208"/>
      <c r="I208"/>
      <c r="J208" s="177"/>
      <c r="K208"/>
      <c r="L208" s="68"/>
      <c r="M208" s="177"/>
      <c r="N208" s="70"/>
      <c r="O208" s="178"/>
      <c r="P208"/>
      <c r="Q208"/>
      <c r="R208" s="17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s="35" customFormat="1">
      <c r="A209" s="66" t="s">
        <v>548</v>
      </c>
      <c r="B209"/>
      <c r="C209" s="68"/>
      <c r="D209" s="178"/>
      <c r="E209"/>
      <c r="F209" s="68"/>
      <c r="G209" s="178"/>
      <c r="H209"/>
      <c r="I209"/>
      <c r="J209" s="177"/>
      <c r="K209"/>
      <c r="L209" s="68"/>
      <c r="M209" s="177"/>
      <c r="N209" s="70"/>
      <c r="O209" s="178"/>
      <c r="P209"/>
      <c r="Q209"/>
      <c r="R209" s="178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s="35" customFormat="1">
      <c r="A210" s="66" t="s">
        <v>549</v>
      </c>
      <c r="B210"/>
      <c r="C210" s="68"/>
      <c r="D210" s="178"/>
      <c r="E210"/>
      <c r="F210" s="68"/>
      <c r="G210" s="178"/>
      <c r="H210"/>
      <c r="I210"/>
      <c r="J210" s="177"/>
      <c r="K210"/>
      <c r="L210" s="68"/>
      <c r="M210" s="177"/>
      <c r="N210" s="70"/>
      <c r="O210" s="178"/>
      <c r="P210"/>
      <c r="Q210"/>
      <c r="R210" s="178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s="35" customFormat="1">
      <c r="A211" s="66" t="s">
        <v>550</v>
      </c>
      <c r="B211"/>
      <c r="C211" s="68"/>
      <c r="D211" s="178"/>
      <c r="E211"/>
      <c r="F211" s="68"/>
      <c r="G211" s="178"/>
      <c r="H211"/>
      <c r="I211"/>
      <c r="J211" s="177"/>
      <c r="K211"/>
      <c r="L211" s="68"/>
      <c r="M211" s="177"/>
      <c r="N211" s="70"/>
      <c r="O211" s="178"/>
      <c r="P211"/>
      <c r="Q211"/>
      <c r="R211" s="178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s="35" customFormat="1">
      <c r="A212" s="66" t="s">
        <v>551</v>
      </c>
      <c r="B212"/>
      <c r="C212" s="68"/>
      <c r="D212" s="178"/>
      <c r="E212"/>
      <c r="F212" s="68"/>
      <c r="G212" s="178"/>
      <c r="H212"/>
      <c r="I212"/>
      <c r="J212" s="177"/>
      <c r="K212"/>
      <c r="L212" s="68"/>
      <c r="M212" s="177"/>
      <c r="N212" s="70"/>
      <c r="O212" s="178"/>
      <c r="P212"/>
      <c r="Q212"/>
      <c r="R212" s="178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s="35" customFormat="1">
      <c r="A213" s="66" t="s">
        <v>552</v>
      </c>
      <c r="B213"/>
      <c r="C213" s="68"/>
      <c r="D213" s="178"/>
      <c r="E213"/>
      <c r="F213" s="68"/>
      <c r="G213" s="178"/>
      <c r="H213"/>
      <c r="I213"/>
      <c r="J213" s="177"/>
      <c r="K213"/>
      <c r="L213" s="68"/>
      <c r="M213" s="177"/>
      <c r="N213" s="70"/>
      <c r="O213" s="178"/>
      <c r="P213"/>
      <c r="Q213"/>
      <c r="R213" s="178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s="35" customFormat="1">
      <c r="A214" s="66" t="s">
        <v>553</v>
      </c>
      <c r="B214"/>
      <c r="C214" s="68"/>
      <c r="D214" s="178"/>
      <c r="E214"/>
      <c r="F214" s="68"/>
      <c r="G214" s="178"/>
      <c r="H214"/>
      <c r="I214"/>
      <c r="J214" s="177"/>
      <c r="K214"/>
      <c r="L214" s="68"/>
      <c r="M214" s="177"/>
      <c r="N214" s="70"/>
      <c r="O214" s="178"/>
      <c r="P214"/>
      <c r="Q214"/>
      <c r="R214" s="178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s="35" customFormat="1">
      <c r="A215" s="66" t="s">
        <v>554</v>
      </c>
      <c r="B215"/>
      <c r="C215" s="68"/>
      <c r="D215" s="178"/>
      <c r="E215"/>
      <c r="F215" s="68"/>
      <c r="G215" s="178"/>
      <c r="H215"/>
      <c r="I215"/>
      <c r="J215" s="177"/>
      <c r="K215"/>
      <c r="L215" s="68"/>
      <c r="M215" s="177"/>
      <c r="N215" s="70"/>
      <c r="O215" s="178"/>
      <c r="P215"/>
      <c r="Q215"/>
      <c r="R215" s="178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s="35" customFormat="1">
      <c r="A216" s="66" t="s">
        <v>555</v>
      </c>
      <c r="B216"/>
      <c r="C216" s="68"/>
      <c r="D216" s="178"/>
      <c r="E216"/>
      <c r="F216" s="68"/>
      <c r="G216" s="178"/>
      <c r="H216"/>
      <c r="I216"/>
      <c r="J216" s="177"/>
      <c r="K216"/>
      <c r="L216" s="68"/>
      <c r="M216" s="177"/>
      <c r="N216" s="70"/>
      <c r="O216" s="178"/>
      <c r="P216"/>
      <c r="Q216"/>
      <c r="R216" s="178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s="35" customFormat="1">
      <c r="A217" s="66" t="s">
        <v>556</v>
      </c>
      <c r="B217"/>
      <c r="C217" s="68"/>
      <c r="D217" s="178"/>
      <c r="E217"/>
      <c r="F217" s="68"/>
      <c r="G217" s="178"/>
      <c r="H217"/>
      <c r="I217"/>
      <c r="J217" s="177"/>
      <c r="K217"/>
      <c r="L217" s="68"/>
      <c r="M217" s="177"/>
      <c r="N217" s="70"/>
      <c r="O217" s="178"/>
      <c r="P217"/>
      <c r="Q217"/>
      <c r="R217" s="178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s="35" customFormat="1">
      <c r="A218" s="66" t="s">
        <v>557</v>
      </c>
      <c r="B218"/>
      <c r="C218" s="68"/>
      <c r="D218" s="178"/>
      <c r="E218"/>
      <c r="F218" s="68"/>
      <c r="G218" s="178"/>
      <c r="H218"/>
      <c r="I218"/>
      <c r="J218" s="177"/>
      <c r="K218"/>
      <c r="L218" s="68"/>
      <c r="M218" s="177"/>
      <c r="N218" s="70"/>
      <c r="O218" s="178"/>
      <c r="P218"/>
      <c r="Q218"/>
      <c r="R218" s="17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s="35" customFormat="1">
      <c r="A219" s="66" t="s">
        <v>417</v>
      </c>
      <c r="B219"/>
      <c r="C219" s="68"/>
      <c r="D219" s="178"/>
      <c r="E219"/>
      <c r="F219" s="68"/>
      <c r="G219" s="178"/>
      <c r="H219"/>
      <c r="I219"/>
      <c r="J219" s="177"/>
      <c r="K219"/>
      <c r="L219" s="68"/>
      <c r="M219" s="177"/>
      <c r="N219" s="70"/>
      <c r="O219" s="178"/>
      <c r="P219"/>
      <c r="Q219"/>
      <c r="R219" s="178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s="35" customFormat="1">
      <c r="A220" s="66" t="s">
        <v>477</v>
      </c>
      <c r="B220"/>
      <c r="C220" s="68"/>
      <c r="D220" s="178"/>
      <c r="E220"/>
      <c r="F220" s="68"/>
      <c r="G220" s="178"/>
      <c r="H220"/>
      <c r="I220"/>
      <c r="J220" s="177"/>
      <c r="K220"/>
      <c r="L220" s="68"/>
      <c r="M220" s="177"/>
      <c r="N220" s="70"/>
      <c r="O220" s="178"/>
      <c r="P220"/>
      <c r="Q220"/>
      <c r="R220" s="178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s="35" customFormat="1">
      <c r="A221" s="66" t="s">
        <v>478</v>
      </c>
      <c r="B221"/>
      <c r="C221" s="68"/>
      <c r="D221" s="178"/>
      <c r="E221"/>
      <c r="F221" s="68"/>
      <c r="G221" s="178"/>
      <c r="H221"/>
      <c r="I221"/>
      <c r="J221" s="177"/>
      <c r="K221"/>
      <c r="L221" s="68"/>
      <c r="M221" s="177"/>
      <c r="N221" s="70"/>
      <c r="O221" s="178"/>
      <c r="P221"/>
      <c r="Q221"/>
      <c r="R221" s="178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s="35" customFormat="1">
      <c r="A222" s="66" t="s">
        <v>479</v>
      </c>
      <c r="B222"/>
      <c r="C222" s="68"/>
      <c r="D222" s="178"/>
      <c r="E222"/>
      <c r="F222" s="68"/>
      <c r="G222" s="178"/>
      <c r="H222"/>
      <c r="I222"/>
      <c r="J222" s="177"/>
      <c r="K222"/>
      <c r="L222" s="68"/>
      <c r="M222" s="177"/>
      <c r="N222" s="70"/>
      <c r="O222" s="178"/>
      <c r="P222"/>
      <c r="Q222"/>
      <c r="R222" s="178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35" customFormat="1">
      <c r="A223" s="66" t="s">
        <v>480</v>
      </c>
      <c r="B223"/>
      <c r="C223" s="68"/>
      <c r="D223" s="178"/>
      <c r="E223"/>
      <c r="F223" s="68"/>
      <c r="G223" s="178"/>
      <c r="H223"/>
      <c r="I223"/>
      <c r="J223" s="177"/>
      <c r="K223"/>
      <c r="L223" s="68"/>
      <c r="M223" s="177"/>
      <c r="N223" s="70"/>
      <c r="O223" s="178"/>
      <c r="P223"/>
      <c r="Q223"/>
      <c r="R223" s="178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s="35" customFormat="1">
      <c r="A224" s="66" t="s">
        <v>481</v>
      </c>
      <c r="B224"/>
      <c r="C224" s="68"/>
      <c r="D224" s="178"/>
      <c r="E224"/>
      <c r="F224" s="68"/>
      <c r="G224" s="178"/>
      <c r="H224"/>
      <c r="I224"/>
      <c r="J224" s="177"/>
      <c r="K224"/>
      <c r="L224" s="68"/>
      <c r="M224" s="177"/>
      <c r="N224" s="70"/>
      <c r="O224" s="178"/>
      <c r="P224"/>
      <c r="Q224"/>
      <c r="R224" s="178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s="35" customFormat="1">
      <c r="A225" s="66" t="s">
        <v>482</v>
      </c>
      <c r="B225"/>
      <c r="C225" s="68"/>
      <c r="D225" s="178"/>
      <c r="E225"/>
      <c r="F225" s="68"/>
      <c r="G225" s="178"/>
      <c r="H225"/>
      <c r="I225"/>
      <c r="J225" s="177"/>
      <c r="K225"/>
      <c r="L225" s="68"/>
      <c r="M225" s="177"/>
      <c r="N225" s="70"/>
      <c r="O225" s="178"/>
      <c r="P225"/>
      <c r="Q225"/>
      <c r="R225" s="178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s="35" customFormat="1">
      <c r="A226" s="66" t="s">
        <v>483</v>
      </c>
      <c r="B226"/>
      <c r="C226" s="68"/>
      <c r="D226" s="178"/>
      <c r="E226"/>
      <c r="F226" s="68"/>
      <c r="G226" s="178"/>
      <c r="H226"/>
      <c r="I226"/>
      <c r="J226" s="177"/>
      <c r="K226"/>
      <c r="L226" s="68"/>
      <c r="M226" s="177"/>
      <c r="N226" s="70"/>
      <c r="O226" s="178"/>
      <c r="P226"/>
      <c r="Q226"/>
      <c r="R226" s="178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s="35" customFormat="1">
      <c r="A227" s="66" t="s">
        <v>484</v>
      </c>
      <c r="B227"/>
      <c r="C227" s="68"/>
      <c r="D227" s="178"/>
      <c r="E227"/>
      <c r="F227" s="68"/>
      <c r="G227" s="178"/>
      <c r="H227"/>
      <c r="I227"/>
      <c r="J227" s="177"/>
      <c r="K227"/>
      <c r="L227" s="68"/>
      <c r="M227" s="177"/>
      <c r="N227" s="70"/>
      <c r="O227" s="178"/>
      <c r="P227"/>
      <c r="Q227"/>
      <c r="R227" s="178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s="35" customFormat="1">
      <c r="A228" s="66" t="s">
        <v>485</v>
      </c>
      <c r="B228"/>
      <c r="C228" s="68"/>
      <c r="D228" s="178"/>
      <c r="E228"/>
      <c r="F228" s="68"/>
      <c r="G228" s="178"/>
      <c r="H228"/>
      <c r="I228"/>
      <c r="J228" s="177"/>
      <c r="K228"/>
      <c r="L228" s="68"/>
      <c r="M228" s="177"/>
      <c r="N228" s="70"/>
      <c r="O228" s="178"/>
      <c r="P228"/>
      <c r="Q228"/>
      <c r="R228" s="17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s="35" customFormat="1">
      <c r="A229" s="66" t="s">
        <v>486</v>
      </c>
      <c r="B229"/>
      <c r="C229" s="68"/>
      <c r="D229" s="178"/>
      <c r="E229"/>
      <c r="F229" s="68"/>
      <c r="G229" s="178"/>
      <c r="H229"/>
      <c r="I229"/>
      <c r="J229" s="177"/>
      <c r="K229"/>
      <c r="L229" s="68"/>
      <c r="M229" s="177"/>
      <c r="N229" s="70"/>
      <c r="O229" s="178"/>
      <c r="P229"/>
      <c r="Q229"/>
      <c r="R229" s="178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s="35" customFormat="1">
      <c r="A230" s="66" t="s">
        <v>487</v>
      </c>
      <c r="B230"/>
      <c r="C230" s="68"/>
      <c r="D230" s="178"/>
      <c r="E230"/>
      <c r="F230" s="68"/>
      <c r="G230" s="178"/>
      <c r="H230"/>
      <c r="I230"/>
      <c r="J230" s="177"/>
      <c r="K230"/>
      <c r="L230" s="68"/>
      <c r="M230" s="177"/>
      <c r="N230" s="70"/>
      <c r="O230" s="178"/>
      <c r="P230"/>
      <c r="Q230"/>
      <c r="R230" s="178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s="35" customFormat="1">
      <c r="A231" s="66" t="s">
        <v>488</v>
      </c>
      <c r="B231"/>
      <c r="C231" s="68"/>
      <c r="D231" s="178"/>
      <c r="E231"/>
      <c r="F231" s="68"/>
      <c r="G231" s="178"/>
      <c r="H231"/>
      <c r="I231"/>
      <c r="J231" s="177"/>
      <c r="K231"/>
      <c r="L231" s="68"/>
      <c r="M231" s="177"/>
      <c r="N231" s="70"/>
      <c r="O231" s="178"/>
      <c r="P231"/>
      <c r="Q231"/>
      <c r="R231" s="178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s="35" customFormat="1">
      <c r="A232" s="66" t="s">
        <v>489</v>
      </c>
      <c r="B232"/>
      <c r="C232" s="68"/>
      <c r="D232" s="178"/>
      <c r="E232"/>
      <c r="F232" s="68"/>
      <c r="G232" s="178"/>
      <c r="H232"/>
      <c r="I232"/>
      <c r="J232" s="177"/>
      <c r="K232"/>
      <c r="L232" s="68"/>
      <c r="M232" s="177"/>
      <c r="N232" s="70"/>
      <c r="O232" s="178"/>
      <c r="P232"/>
      <c r="Q232"/>
      <c r="R232" s="178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s="35" customFormat="1">
      <c r="A233" s="66" t="s">
        <v>490</v>
      </c>
      <c r="B233"/>
      <c r="C233" s="68"/>
      <c r="D233" s="178"/>
      <c r="E233"/>
      <c r="F233" s="68"/>
      <c r="G233" s="178"/>
      <c r="H233"/>
      <c r="I233"/>
      <c r="J233" s="177"/>
      <c r="K233"/>
      <c r="L233" s="68"/>
      <c r="M233" s="177"/>
      <c r="N233" s="70"/>
      <c r="O233" s="178"/>
      <c r="P233"/>
      <c r="Q233"/>
      <c r="R233" s="178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s="35" customFormat="1">
      <c r="A234" s="66" t="s">
        <v>491</v>
      </c>
      <c r="B234"/>
      <c r="C234" s="68"/>
      <c r="D234" s="178"/>
      <c r="E234"/>
      <c r="F234" s="68"/>
      <c r="G234" s="178"/>
      <c r="H234"/>
      <c r="I234"/>
      <c r="J234" s="177"/>
      <c r="K234"/>
      <c r="L234" s="68"/>
      <c r="M234" s="177"/>
      <c r="N234" s="70"/>
      <c r="O234" s="178"/>
      <c r="P234"/>
      <c r="Q234"/>
      <c r="R234" s="178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s="35" customFormat="1">
      <c r="A235" s="66" t="s">
        <v>492</v>
      </c>
      <c r="B235"/>
      <c r="C235" s="68"/>
      <c r="D235" s="178"/>
      <c r="E235"/>
      <c r="F235" s="68"/>
      <c r="G235" s="178"/>
      <c r="H235"/>
      <c r="I235"/>
      <c r="J235" s="177"/>
      <c r="K235"/>
      <c r="L235" s="68"/>
      <c r="M235" s="177"/>
      <c r="N235" s="70"/>
      <c r="O235" s="178"/>
      <c r="P235"/>
      <c r="Q235"/>
      <c r="R235" s="178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s="35" customFormat="1">
      <c r="A236" s="66" t="s">
        <v>493</v>
      </c>
      <c r="B236"/>
      <c r="C236" s="68"/>
      <c r="D236" s="178"/>
      <c r="E236"/>
      <c r="F236" s="68"/>
      <c r="G236" s="178"/>
      <c r="H236"/>
      <c r="I236"/>
      <c r="J236" s="177"/>
      <c r="K236"/>
      <c r="L236" s="68"/>
      <c r="M236" s="177"/>
      <c r="N236" s="70"/>
      <c r="O236" s="178"/>
      <c r="P236"/>
      <c r="Q236"/>
      <c r="R236" s="178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s="35" customFormat="1">
      <c r="A237" s="66" t="s">
        <v>494</v>
      </c>
      <c r="B237"/>
      <c r="C237" s="68"/>
      <c r="D237" s="178"/>
      <c r="E237"/>
      <c r="F237" s="68"/>
      <c r="G237" s="178"/>
      <c r="H237"/>
      <c r="I237"/>
      <c r="J237" s="177"/>
      <c r="K237"/>
      <c r="L237" s="68"/>
      <c r="M237" s="177"/>
      <c r="N237" s="70"/>
      <c r="O237" s="178"/>
      <c r="P237"/>
      <c r="Q237"/>
      <c r="R237" s="178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s="35" customFormat="1">
      <c r="A238" s="66" t="s">
        <v>495</v>
      </c>
      <c r="B238"/>
      <c r="C238" s="68"/>
      <c r="D238" s="178"/>
      <c r="E238"/>
      <c r="F238" s="68"/>
      <c r="G238" s="178"/>
      <c r="H238"/>
      <c r="I238"/>
      <c r="J238" s="177"/>
      <c r="K238"/>
      <c r="L238" s="68"/>
      <c r="M238" s="177"/>
      <c r="N238" s="70"/>
      <c r="O238" s="178"/>
      <c r="P238"/>
      <c r="Q238"/>
      <c r="R238" s="17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s="35" customFormat="1">
      <c r="A239" s="66" t="s">
        <v>496</v>
      </c>
      <c r="B239"/>
      <c r="C239" s="68"/>
      <c r="D239" s="178"/>
      <c r="E239"/>
      <c r="F239" s="68"/>
      <c r="G239" s="178"/>
      <c r="H239"/>
      <c r="I239"/>
      <c r="J239" s="177"/>
      <c r="K239"/>
      <c r="L239" s="68"/>
      <c r="M239" s="177"/>
      <c r="N239" s="70"/>
      <c r="O239" s="178"/>
      <c r="P239"/>
      <c r="Q239"/>
      <c r="R239" s="178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s="35" customFormat="1">
      <c r="A240" s="66" t="s">
        <v>497</v>
      </c>
      <c r="B240"/>
      <c r="C240" s="68"/>
      <c r="D240" s="178"/>
      <c r="E240"/>
      <c r="F240" s="68"/>
      <c r="G240" s="178"/>
      <c r="H240"/>
      <c r="I240"/>
      <c r="J240" s="177"/>
      <c r="K240"/>
      <c r="L240" s="68"/>
      <c r="M240" s="177"/>
      <c r="N240" s="70"/>
      <c r="O240" s="178"/>
      <c r="P240"/>
      <c r="Q240"/>
      <c r="R240" s="178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s="35" customFormat="1">
      <c r="A241" s="66" t="s">
        <v>498</v>
      </c>
      <c r="B241"/>
      <c r="C241" s="68"/>
      <c r="D241" s="178"/>
      <c r="E241"/>
      <c r="F241" s="68"/>
      <c r="G241" s="178"/>
      <c r="H241"/>
      <c r="I241"/>
      <c r="J241" s="177"/>
      <c r="K241"/>
      <c r="L241" s="68"/>
      <c r="M241" s="177"/>
      <c r="N241" s="70"/>
      <c r="O241" s="178"/>
      <c r="P241"/>
      <c r="Q241"/>
      <c r="R241" s="178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s="35" customFormat="1">
      <c r="A242" s="66" t="s">
        <v>499</v>
      </c>
      <c r="B242"/>
      <c r="C242" s="68"/>
      <c r="D242" s="178"/>
      <c r="E242"/>
      <c r="F242" s="68"/>
      <c r="G242" s="178"/>
      <c r="H242"/>
      <c r="I242"/>
      <c r="J242" s="177"/>
      <c r="K242"/>
      <c r="L242" s="68"/>
      <c r="M242" s="177"/>
      <c r="N242" s="70"/>
      <c r="O242" s="178"/>
      <c r="P242"/>
      <c r="Q242"/>
      <c r="R242" s="178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s="35" customFormat="1">
      <c r="A243" s="66" t="s">
        <v>500</v>
      </c>
      <c r="B243"/>
      <c r="C243" s="68"/>
      <c r="D243" s="178"/>
      <c r="E243"/>
      <c r="F243" s="68"/>
      <c r="G243" s="178"/>
      <c r="H243"/>
      <c r="I243"/>
      <c r="J243" s="177"/>
      <c r="K243"/>
      <c r="L243" s="68"/>
      <c r="M243" s="177"/>
      <c r="N243" s="70"/>
      <c r="O243" s="178"/>
      <c r="P243"/>
      <c r="Q243"/>
      <c r="R243" s="178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s="35" customFormat="1">
      <c r="A244" s="66" t="s">
        <v>501</v>
      </c>
      <c r="B244"/>
      <c r="C244" s="68"/>
      <c r="D244" s="178"/>
      <c r="E244"/>
      <c r="F244" s="68"/>
      <c r="G244" s="178"/>
      <c r="H244"/>
      <c r="I244"/>
      <c r="J244" s="177"/>
      <c r="K244"/>
      <c r="L244" s="68"/>
      <c r="M244" s="177"/>
      <c r="N244" s="70"/>
      <c r="O244" s="178"/>
      <c r="P244"/>
      <c r="Q244"/>
      <c r="R244" s="178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s="35" customFormat="1">
      <c r="A245" s="66" t="s">
        <v>502</v>
      </c>
      <c r="B245"/>
      <c r="C245" s="68"/>
      <c r="D245" s="178"/>
      <c r="E245"/>
      <c r="F245" s="68"/>
      <c r="G245" s="178"/>
      <c r="H245"/>
      <c r="I245"/>
      <c r="J245" s="177"/>
      <c r="K245"/>
      <c r="L245" s="68"/>
      <c r="M245" s="177"/>
      <c r="N245" s="70"/>
      <c r="O245" s="178"/>
      <c r="P245"/>
      <c r="Q245"/>
      <c r="R245" s="178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s="35" customFormat="1">
      <c r="A246" s="66" t="s">
        <v>503</v>
      </c>
      <c r="B246"/>
      <c r="C246" s="68"/>
      <c r="D246" s="178"/>
      <c r="E246"/>
      <c r="F246" s="68"/>
      <c r="G246" s="178"/>
      <c r="H246"/>
      <c r="I246"/>
      <c r="J246" s="177"/>
      <c r="K246"/>
      <c r="L246" s="68"/>
      <c r="M246" s="177"/>
      <c r="N246" s="70"/>
      <c r="O246" s="178"/>
      <c r="P246"/>
      <c r="Q246"/>
      <c r="R246" s="178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s="35" customFormat="1">
      <c r="A247" s="66" t="s">
        <v>504</v>
      </c>
      <c r="B247"/>
      <c r="C247" s="68"/>
      <c r="D247" s="178"/>
      <c r="E247"/>
      <c r="F247" s="68"/>
      <c r="G247" s="178"/>
      <c r="H247"/>
      <c r="I247"/>
      <c r="J247" s="177"/>
      <c r="K247"/>
      <c r="L247" s="68"/>
      <c r="M247" s="177"/>
      <c r="N247" s="70"/>
      <c r="O247" s="178"/>
      <c r="P247"/>
      <c r="Q247"/>
      <c r="R247" s="178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s="35" customFormat="1">
      <c r="A248" s="66" t="s">
        <v>505</v>
      </c>
      <c r="B248"/>
      <c r="C248" s="68"/>
      <c r="D248" s="178"/>
      <c r="E248"/>
      <c r="F248" s="68"/>
      <c r="G248" s="178"/>
      <c r="H248"/>
      <c r="I248"/>
      <c r="J248" s="177"/>
      <c r="K248"/>
      <c r="L248" s="68"/>
      <c r="M248" s="177"/>
      <c r="N248" s="70"/>
      <c r="O248" s="178"/>
      <c r="P248"/>
      <c r="Q248"/>
      <c r="R248" s="17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s="35" customFormat="1">
      <c r="A249" s="66" t="s">
        <v>506</v>
      </c>
      <c r="B249"/>
      <c r="C249" s="68"/>
      <c r="D249" s="178"/>
      <c r="E249"/>
      <c r="F249" s="68"/>
      <c r="G249" s="178"/>
      <c r="H249"/>
      <c r="I249"/>
      <c r="J249" s="177"/>
      <c r="K249"/>
      <c r="L249" s="68"/>
      <c r="M249" s="177"/>
      <c r="N249" s="70"/>
      <c r="O249" s="178"/>
      <c r="P249"/>
      <c r="Q249"/>
      <c r="R249" s="178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s="35" customFormat="1">
      <c r="A250" s="66" t="s">
        <v>507</v>
      </c>
      <c r="B250"/>
      <c r="C250" s="68"/>
      <c r="D250" s="178"/>
      <c r="E250"/>
      <c r="F250" s="68"/>
      <c r="G250" s="178"/>
      <c r="H250"/>
      <c r="I250"/>
      <c r="J250" s="177"/>
      <c r="K250"/>
      <c r="L250" s="68"/>
      <c r="M250" s="177"/>
      <c r="N250" s="70"/>
      <c r="O250" s="178"/>
      <c r="P250"/>
      <c r="Q250"/>
      <c r="R250" s="178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s="35" customFormat="1">
      <c r="A251" s="66" t="s">
        <v>508</v>
      </c>
      <c r="B251"/>
      <c r="C251" s="68"/>
      <c r="D251" s="178"/>
      <c r="E251"/>
      <c r="F251" s="68"/>
      <c r="G251" s="178"/>
      <c r="H251"/>
      <c r="I251"/>
      <c r="J251" s="177"/>
      <c r="K251"/>
      <c r="L251" s="68"/>
      <c r="M251" s="177"/>
      <c r="N251" s="70"/>
      <c r="O251" s="178"/>
      <c r="P251"/>
      <c r="Q251"/>
      <c r="R251" s="178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s="35" customFormat="1">
      <c r="A252" s="66" t="s">
        <v>509</v>
      </c>
      <c r="B252"/>
      <c r="C252" s="68"/>
      <c r="D252" s="178"/>
      <c r="E252"/>
      <c r="F252" s="68"/>
      <c r="G252" s="178"/>
      <c r="H252"/>
      <c r="I252"/>
      <c r="J252" s="177"/>
      <c r="K252"/>
      <c r="L252" s="68"/>
      <c r="M252" s="177"/>
      <c r="N252" s="70"/>
      <c r="O252" s="178"/>
      <c r="P252"/>
      <c r="Q252"/>
      <c r="R252" s="178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s="35" customFormat="1">
      <c r="A253" s="66" t="s">
        <v>510</v>
      </c>
      <c r="B253"/>
      <c r="C253" s="68"/>
      <c r="D253" s="178"/>
      <c r="E253"/>
      <c r="F253" s="68"/>
      <c r="G253" s="178"/>
      <c r="H253"/>
      <c r="I253"/>
      <c r="J253" s="177"/>
      <c r="K253"/>
      <c r="L253" s="68"/>
      <c r="M253" s="177"/>
      <c r="N253" s="70"/>
      <c r="O253" s="178"/>
      <c r="P253"/>
      <c r="Q253"/>
      <c r="R253" s="178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s="35" customFormat="1">
      <c r="A254" s="66" t="s">
        <v>511</v>
      </c>
      <c r="B254"/>
      <c r="C254" s="68"/>
      <c r="D254" s="178"/>
      <c r="E254"/>
      <c r="F254" s="68"/>
      <c r="G254" s="178"/>
      <c r="H254"/>
      <c r="I254"/>
      <c r="J254" s="177"/>
      <c r="K254"/>
      <c r="L254" s="68"/>
      <c r="M254" s="177"/>
      <c r="N254" s="70"/>
      <c r="O254" s="178"/>
      <c r="P254"/>
      <c r="Q254"/>
      <c r="R254" s="178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s="35" customFormat="1">
      <c r="A255" s="66" t="s">
        <v>512</v>
      </c>
      <c r="B255"/>
      <c r="C255" s="68"/>
      <c r="D255" s="178"/>
      <c r="E255"/>
      <c r="F255" s="68"/>
      <c r="G255" s="178"/>
      <c r="H255"/>
      <c r="I255"/>
      <c r="J255" s="177"/>
      <c r="K255"/>
      <c r="L255" s="68"/>
      <c r="M255" s="177"/>
      <c r="N255" s="70"/>
      <c r="O255" s="178"/>
      <c r="P255"/>
      <c r="Q255"/>
      <c r="R255" s="178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s="35" customFormat="1">
      <c r="A256" s="66" t="s">
        <v>513</v>
      </c>
      <c r="B256"/>
      <c r="C256" s="68"/>
      <c r="D256" s="178"/>
      <c r="E256"/>
      <c r="F256" s="68"/>
      <c r="G256" s="178"/>
      <c r="H256"/>
      <c r="I256"/>
      <c r="J256" s="177"/>
      <c r="K256"/>
      <c r="L256" s="68"/>
      <c r="M256" s="177"/>
      <c r="N256" s="70"/>
      <c r="O256" s="178"/>
      <c r="P256"/>
      <c r="Q256"/>
      <c r="R256" s="178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s="35" customFormat="1">
      <c r="A257" s="66" t="s">
        <v>514</v>
      </c>
      <c r="B257"/>
      <c r="C257" s="68"/>
      <c r="D257" s="178"/>
      <c r="E257"/>
      <c r="F257" s="68"/>
      <c r="G257" s="178"/>
      <c r="H257"/>
      <c r="I257"/>
      <c r="J257" s="177"/>
      <c r="K257"/>
      <c r="L257" s="68"/>
      <c r="M257" s="177"/>
      <c r="N257" s="70"/>
      <c r="O257" s="178"/>
      <c r="P257"/>
      <c r="Q257"/>
      <c r="R257" s="178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s="35" customFormat="1">
      <c r="A258" s="66" t="s">
        <v>515</v>
      </c>
      <c r="B258"/>
      <c r="C258" s="68"/>
      <c r="D258" s="178"/>
      <c r="E258"/>
      <c r="F258" s="68"/>
      <c r="G258" s="178"/>
      <c r="H258"/>
      <c r="I258"/>
      <c r="J258" s="177"/>
      <c r="K258"/>
      <c r="L258" s="68"/>
      <c r="M258" s="177"/>
      <c r="N258" s="70"/>
      <c r="O258" s="178"/>
      <c r="P258"/>
      <c r="Q258"/>
      <c r="R258" s="17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s="35" customFormat="1">
      <c r="A259" s="66" t="s">
        <v>516</v>
      </c>
      <c r="B259"/>
      <c r="C259" s="68"/>
      <c r="D259" s="178"/>
      <c r="E259"/>
      <c r="F259" s="68"/>
      <c r="G259" s="178"/>
      <c r="H259"/>
      <c r="I259"/>
      <c r="J259" s="177"/>
      <c r="K259"/>
      <c r="L259" s="68"/>
      <c r="M259" s="177"/>
      <c r="N259" s="70"/>
      <c r="O259" s="178"/>
      <c r="P259"/>
      <c r="Q259"/>
      <c r="R259" s="178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s="35" customFormat="1">
      <c r="A260" s="66" t="s">
        <v>517</v>
      </c>
      <c r="B260"/>
      <c r="C260" s="68"/>
      <c r="D260" s="178"/>
      <c r="E260"/>
      <c r="F260" s="68"/>
      <c r="G260" s="178"/>
      <c r="H260"/>
      <c r="I260"/>
      <c r="J260" s="177"/>
      <c r="K260"/>
      <c r="L260" s="68"/>
      <c r="M260" s="177"/>
      <c r="N260" s="70"/>
      <c r="O260" s="178"/>
      <c r="P260"/>
      <c r="Q260"/>
      <c r="R260" s="178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s="35" customFormat="1">
      <c r="A261" s="66" t="s">
        <v>518</v>
      </c>
      <c r="B261"/>
      <c r="C261" s="68"/>
      <c r="D261" s="178"/>
      <c r="E261"/>
      <c r="F261" s="68"/>
      <c r="G261" s="178"/>
      <c r="H261"/>
      <c r="I261"/>
      <c r="J261" s="177"/>
      <c r="K261"/>
      <c r="L261" s="68"/>
      <c r="M261" s="177"/>
      <c r="N261" s="70"/>
      <c r="O261" s="178"/>
      <c r="P261"/>
      <c r="Q261"/>
      <c r="R261" s="178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s="35" customFormat="1">
      <c r="A262" s="66" t="s">
        <v>519</v>
      </c>
      <c r="B262"/>
      <c r="C262" s="68"/>
      <c r="D262" s="178"/>
      <c r="E262"/>
      <c r="F262" s="68"/>
      <c r="G262" s="178"/>
      <c r="H262"/>
      <c r="I262"/>
      <c r="J262" s="177"/>
      <c r="K262"/>
      <c r="L262" s="68"/>
      <c r="M262" s="177"/>
      <c r="N262" s="70"/>
      <c r="O262" s="178"/>
      <c r="P262"/>
      <c r="Q262"/>
      <c r="R262" s="178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s="35" customFormat="1">
      <c r="A263" s="66" t="s">
        <v>520</v>
      </c>
      <c r="B263"/>
      <c r="C263" s="68"/>
      <c r="D263" s="178"/>
      <c r="E263"/>
      <c r="F263" s="68"/>
      <c r="G263" s="178"/>
      <c r="H263"/>
      <c r="I263"/>
      <c r="J263" s="177"/>
      <c r="K263"/>
      <c r="L263" s="68"/>
      <c r="M263" s="177"/>
      <c r="N263" s="70"/>
      <c r="O263" s="178"/>
      <c r="P263"/>
      <c r="Q263"/>
      <c r="R263" s="178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s="35" customFormat="1">
      <c r="A264" s="66" t="s">
        <v>521</v>
      </c>
      <c r="B264"/>
      <c r="C264" s="68"/>
      <c r="D264" s="178"/>
      <c r="E264"/>
      <c r="F264" s="68"/>
      <c r="G264" s="178"/>
      <c r="H264"/>
      <c r="I264"/>
      <c r="J264" s="177"/>
      <c r="K264"/>
      <c r="L264" s="68"/>
      <c r="M264" s="177"/>
      <c r="N264" s="70"/>
      <c r="O264" s="178"/>
      <c r="P264"/>
      <c r="Q264"/>
      <c r="R264" s="178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s="35" customFormat="1">
      <c r="A265" s="66" t="s">
        <v>522</v>
      </c>
      <c r="B265"/>
      <c r="C265" s="68"/>
      <c r="D265" s="178"/>
      <c r="E265"/>
      <c r="F265" s="68"/>
      <c r="G265" s="178"/>
      <c r="H265"/>
      <c r="I265"/>
      <c r="J265" s="177"/>
      <c r="K265"/>
      <c r="L265" s="68"/>
      <c r="M265" s="177"/>
      <c r="N265" s="70"/>
      <c r="O265" s="178"/>
      <c r="P265"/>
      <c r="Q265"/>
      <c r="R265" s="178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s="35" customFormat="1">
      <c r="A266" s="66" t="s">
        <v>523</v>
      </c>
      <c r="B266"/>
      <c r="C266" s="68"/>
      <c r="D266" s="178"/>
      <c r="E266"/>
      <c r="F266" s="68"/>
      <c r="G266" s="178"/>
      <c r="H266"/>
      <c r="I266"/>
      <c r="J266" s="177"/>
      <c r="K266"/>
      <c r="L266" s="68"/>
      <c r="M266" s="177"/>
      <c r="N266" s="70"/>
      <c r="O266" s="178"/>
      <c r="P266"/>
      <c r="Q266"/>
      <c r="R266" s="178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s="35" customFormat="1">
      <c r="A267" s="66" t="s">
        <v>524</v>
      </c>
      <c r="B267"/>
      <c r="C267" s="68"/>
      <c r="D267" s="178"/>
      <c r="E267"/>
      <c r="F267" s="68"/>
      <c r="G267" s="178"/>
      <c r="H267"/>
      <c r="I267"/>
      <c r="J267" s="177"/>
      <c r="K267"/>
      <c r="L267" s="68"/>
      <c r="M267" s="177"/>
      <c r="N267" s="70"/>
      <c r="O267" s="178"/>
      <c r="P267"/>
      <c r="Q267"/>
      <c r="R267" s="178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s="35" customFormat="1">
      <c r="A268" s="66" t="s">
        <v>525</v>
      </c>
      <c r="B268"/>
      <c r="C268" s="68"/>
      <c r="D268" s="178"/>
      <c r="E268"/>
      <c r="F268" s="68"/>
      <c r="G268" s="178"/>
      <c r="H268"/>
      <c r="I268"/>
      <c r="J268" s="177"/>
      <c r="K268"/>
      <c r="L268" s="68"/>
      <c r="M268" s="177"/>
      <c r="N268" s="70"/>
      <c r="O268" s="178"/>
      <c r="P268"/>
      <c r="Q268"/>
      <c r="R268" s="17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s="35" customFormat="1">
      <c r="A269" s="66" t="s">
        <v>526</v>
      </c>
      <c r="B269"/>
      <c r="C269" s="68"/>
      <c r="D269" s="178"/>
      <c r="E269"/>
      <c r="F269" s="68"/>
      <c r="G269" s="178"/>
      <c r="H269"/>
      <c r="I269"/>
      <c r="J269" s="177"/>
      <c r="K269"/>
      <c r="L269" s="68"/>
      <c r="M269" s="177"/>
      <c r="N269" s="70"/>
      <c r="O269" s="178"/>
      <c r="P269"/>
      <c r="Q269"/>
      <c r="R269" s="178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s="35" customFormat="1">
      <c r="A270" s="66" t="s">
        <v>527</v>
      </c>
      <c r="B270"/>
      <c r="C270" s="68"/>
      <c r="D270" s="178"/>
      <c r="E270"/>
      <c r="F270" s="68"/>
      <c r="G270" s="178"/>
      <c r="H270"/>
      <c r="I270"/>
      <c r="J270" s="177"/>
      <c r="K270"/>
      <c r="L270" s="68"/>
      <c r="M270" s="177"/>
      <c r="N270" s="70"/>
      <c r="O270" s="178"/>
      <c r="P270"/>
      <c r="Q270"/>
      <c r="R270" s="178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s="35" customFormat="1">
      <c r="A271" s="66" t="s">
        <v>528</v>
      </c>
      <c r="B271"/>
      <c r="C271" s="68"/>
      <c r="D271" s="178"/>
      <c r="E271"/>
      <c r="F271" s="68"/>
      <c r="G271" s="178"/>
      <c r="H271"/>
      <c r="I271"/>
      <c r="J271" s="177"/>
      <c r="K271"/>
      <c r="L271" s="68"/>
      <c r="M271" s="177"/>
      <c r="N271" s="70"/>
      <c r="O271" s="178"/>
      <c r="P271"/>
      <c r="Q271"/>
      <c r="R271" s="178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s="35" customFormat="1">
      <c r="A272" s="66" t="s">
        <v>529</v>
      </c>
      <c r="B272"/>
      <c r="C272" s="68"/>
      <c r="D272" s="178"/>
      <c r="E272"/>
      <c r="F272" s="68"/>
      <c r="G272" s="178"/>
      <c r="H272"/>
      <c r="I272"/>
      <c r="J272" s="177"/>
      <c r="K272"/>
      <c r="L272" s="68"/>
      <c r="M272" s="177"/>
      <c r="N272" s="70"/>
      <c r="O272" s="178"/>
      <c r="P272"/>
      <c r="Q272"/>
      <c r="R272" s="178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s="35" customFormat="1">
      <c r="A273" s="66" t="s">
        <v>530</v>
      </c>
      <c r="B273"/>
      <c r="C273" s="68"/>
      <c r="D273" s="178"/>
      <c r="E273"/>
      <c r="F273" s="68"/>
      <c r="G273" s="178"/>
      <c r="H273"/>
      <c r="I273"/>
      <c r="J273" s="177"/>
      <c r="K273"/>
      <c r="L273" s="68"/>
      <c r="M273" s="177"/>
      <c r="N273" s="70"/>
      <c r="O273" s="178"/>
      <c r="P273"/>
      <c r="Q273"/>
      <c r="R273" s="178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s="35" customFormat="1">
      <c r="A274" s="66" t="s">
        <v>531</v>
      </c>
      <c r="B274"/>
      <c r="C274" s="68"/>
      <c r="D274" s="178"/>
      <c r="E274"/>
      <c r="F274" s="68"/>
      <c r="G274" s="178"/>
      <c r="H274"/>
      <c r="I274"/>
      <c r="J274" s="177"/>
      <c r="K274"/>
      <c r="L274" s="68"/>
      <c r="M274" s="177"/>
      <c r="N274" s="70"/>
      <c r="O274" s="178"/>
      <c r="P274"/>
      <c r="Q274"/>
      <c r="R274" s="178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s="35" customFormat="1">
      <c r="A275" s="66" t="s">
        <v>532</v>
      </c>
      <c r="B275"/>
      <c r="C275" s="68"/>
      <c r="D275" s="178"/>
      <c r="E275"/>
      <c r="F275" s="68"/>
      <c r="G275" s="178"/>
      <c r="H275"/>
      <c r="I275"/>
      <c r="J275" s="177"/>
      <c r="K275"/>
      <c r="L275" s="68"/>
      <c r="M275" s="177"/>
      <c r="N275" s="70"/>
      <c r="O275" s="178"/>
      <c r="P275"/>
      <c r="Q275"/>
      <c r="R275" s="178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s="35" customFormat="1">
      <c r="A276" s="66" t="s">
        <v>356</v>
      </c>
      <c r="B276"/>
      <c r="C276" s="68"/>
      <c r="D276" s="178"/>
      <c r="E276"/>
      <c r="F276" s="68"/>
      <c r="G276" s="178"/>
      <c r="H276"/>
      <c r="I276"/>
      <c r="J276" s="177"/>
      <c r="K276"/>
      <c r="L276" s="68"/>
      <c r="M276" s="177"/>
      <c r="N276" s="70"/>
      <c r="O276" s="178"/>
      <c r="P276"/>
      <c r="Q276"/>
      <c r="R276" s="178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s="35" customFormat="1">
      <c r="A277" s="66" t="s">
        <v>357</v>
      </c>
      <c r="B277"/>
      <c r="C277" s="68"/>
      <c r="D277" s="178"/>
      <c r="E277"/>
      <c r="F277" s="68"/>
      <c r="G277" s="178"/>
      <c r="H277"/>
      <c r="I277"/>
      <c r="J277" s="177"/>
      <c r="K277"/>
      <c r="L277" s="68"/>
      <c r="M277" s="177"/>
      <c r="N277" s="70"/>
      <c r="O277" s="178"/>
      <c r="P277"/>
      <c r="Q277"/>
      <c r="R277" s="178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s="35" customFormat="1">
      <c r="A278" s="66" t="s">
        <v>360</v>
      </c>
      <c r="B278"/>
      <c r="C278" s="68"/>
      <c r="D278" s="178"/>
      <c r="E278"/>
      <c r="F278" s="68"/>
      <c r="G278" s="178"/>
      <c r="H278"/>
      <c r="I278"/>
      <c r="J278" s="177"/>
      <c r="K278"/>
      <c r="L278" s="68"/>
      <c r="M278" s="177"/>
      <c r="N278" s="70"/>
      <c r="O278" s="178"/>
      <c r="P278"/>
      <c r="Q278"/>
      <c r="R278" s="1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s="35" customFormat="1">
      <c r="A279" s="66" t="s">
        <v>361</v>
      </c>
      <c r="B279"/>
      <c r="C279" s="68"/>
      <c r="D279" s="178"/>
      <c r="E279"/>
      <c r="F279" s="68"/>
      <c r="G279" s="178"/>
      <c r="H279"/>
      <c r="I279"/>
      <c r="J279" s="177"/>
      <c r="K279"/>
      <c r="L279" s="68"/>
      <c r="M279" s="177"/>
      <c r="N279" s="70"/>
      <c r="O279" s="178"/>
      <c r="P279"/>
      <c r="Q279"/>
      <c r="R279" s="178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s="35" customFormat="1">
      <c r="A280" s="66" t="s">
        <v>362</v>
      </c>
      <c r="B280"/>
      <c r="C280" s="68"/>
      <c r="D280" s="178"/>
      <c r="E280"/>
      <c r="F280" s="68"/>
      <c r="G280" s="178"/>
      <c r="H280"/>
      <c r="I280"/>
      <c r="J280" s="177"/>
      <c r="K280"/>
      <c r="L280" s="68"/>
      <c r="M280" s="177"/>
      <c r="N280" s="70"/>
      <c r="O280" s="178"/>
      <c r="P280"/>
      <c r="Q280"/>
      <c r="R280" s="178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s="35" customFormat="1">
      <c r="A281" s="66" t="s">
        <v>390</v>
      </c>
      <c r="B281"/>
      <c r="C281" s="68"/>
      <c r="D281" s="178"/>
      <c r="E281"/>
      <c r="F281" s="68"/>
      <c r="G281" s="178"/>
      <c r="H281"/>
      <c r="I281"/>
      <c r="J281" s="177"/>
      <c r="K281"/>
      <c r="L281" s="68"/>
      <c r="M281" s="177"/>
      <c r="N281" s="70"/>
      <c r="O281" s="178"/>
      <c r="P281"/>
      <c r="Q281"/>
      <c r="R281" s="178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s="35" customFormat="1">
      <c r="A282" s="66" t="s">
        <v>363</v>
      </c>
      <c r="B282"/>
      <c r="C282" s="68"/>
      <c r="D282" s="178"/>
      <c r="E282"/>
      <c r="F282" s="68"/>
      <c r="G282" s="178"/>
      <c r="H282"/>
      <c r="I282"/>
      <c r="J282" s="177"/>
      <c r="K282"/>
      <c r="L282" s="68"/>
      <c r="M282" s="177"/>
      <c r="N282" s="70"/>
      <c r="O282" s="178"/>
      <c r="P282"/>
      <c r="Q282"/>
      <c r="R282" s="178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s="35" customFormat="1">
      <c r="A283" s="66" t="s">
        <v>364</v>
      </c>
      <c r="B283"/>
      <c r="C283" s="68"/>
      <c r="D283" s="178"/>
      <c r="E283"/>
      <c r="F283" s="68"/>
      <c r="G283" s="178"/>
      <c r="H283"/>
      <c r="I283"/>
      <c r="J283" s="177"/>
      <c r="K283"/>
      <c r="L283" s="68"/>
      <c r="M283" s="177"/>
      <c r="N283" s="70"/>
      <c r="O283" s="178"/>
      <c r="P283"/>
      <c r="Q283"/>
      <c r="R283" s="178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s="35" customFormat="1">
      <c r="A284" s="66" t="s">
        <v>391</v>
      </c>
      <c r="B284"/>
      <c r="C284" s="68"/>
      <c r="D284" s="178"/>
      <c r="E284"/>
      <c r="F284" s="68"/>
      <c r="G284" s="178"/>
      <c r="H284"/>
      <c r="I284"/>
      <c r="J284" s="177"/>
      <c r="K284"/>
      <c r="L284" s="68"/>
      <c r="M284" s="177"/>
      <c r="N284" s="70"/>
      <c r="O284" s="178"/>
      <c r="P284"/>
      <c r="Q284"/>
      <c r="R284" s="178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s="35" customFormat="1">
      <c r="A285" s="66" t="s">
        <v>533</v>
      </c>
      <c r="B285"/>
      <c r="C285" s="68"/>
      <c r="D285" s="178"/>
      <c r="E285"/>
      <c r="F285" s="68"/>
      <c r="G285" s="178"/>
      <c r="H285"/>
      <c r="I285"/>
      <c r="J285" s="177"/>
      <c r="K285"/>
      <c r="L285" s="68"/>
      <c r="M285" s="177"/>
      <c r="N285" s="70"/>
      <c r="O285" s="178"/>
      <c r="P285"/>
      <c r="Q285"/>
      <c r="R285" s="178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s="35" customFormat="1">
      <c r="A286" s="66" t="s">
        <v>534</v>
      </c>
      <c r="B286"/>
      <c r="C286" s="68"/>
      <c r="D286" s="178"/>
      <c r="E286"/>
      <c r="F286" s="68"/>
      <c r="G286" s="178"/>
      <c r="H286"/>
      <c r="I286"/>
      <c r="J286" s="177"/>
      <c r="K286"/>
      <c r="L286" s="68"/>
      <c r="M286" s="177"/>
      <c r="N286" s="70"/>
      <c r="O286" s="178"/>
      <c r="P286"/>
      <c r="Q286"/>
      <c r="R286" s="178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s="35" customFormat="1">
      <c r="A287" s="66" t="s">
        <v>535</v>
      </c>
      <c r="B287"/>
      <c r="C287" s="68"/>
      <c r="D287" s="178"/>
      <c r="E287"/>
      <c r="F287" s="68"/>
      <c r="G287" s="178"/>
      <c r="H287"/>
      <c r="I287"/>
      <c r="J287" s="177"/>
      <c r="K287"/>
      <c r="L287" s="68"/>
      <c r="M287" s="177"/>
      <c r="N287" s="70"/>
      <c r="O287" s="178"/>
      <c r="P287"/>
      <c r="Q287"/>
      <c r="R287" s="178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s="35" customFormat="1">
      <c r="A288" s="66" t="s">
        <v>536</v>
      </c>
      <c r="B288"/>
      <c r="C288" s="68"/>
      <c r="D288" s="178"/>
      <c r="E288"/>
      <c r="F288" s="68"/>
      <c r="G288" s="178"/>
      <c r="H288"/>
      <c r="I288"/>
      <c r="J288" s="177"/>
      <c r="K288"/>
      <c r="L288" s="68"/>
      <c r="M288" s="177"/>
      <c r="N288" s="70"/>
      <c r="O288" s="178"/>
      <c r="P288"/>
      <c r="Q288"/>
      <c r="R288" s="17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s="35" customFormat="1">
      <c r="A289" s="66" t="s">
        <v>537</v>
      </c>
      <c r="B289"/>
      <c r="C289" s="68"/>
      <c r="D289" s="178"/>
      <c r="E289"/>
      <c r="F289" s="68"/>
      <c r="G289" s="178"/>
      <c r="H289"/>
      <c r="I289"/>
      <c r="J289" s="177"/>
      <c r="K289"/>
      <c r="L289" s="68"/>
      <c r="M289" s="177"/>
      <c r="N289" s="70"/>
      <c r="O289" s="178"/>
      <c r="P289"/>
      <c r="Q289"/>
      <c r="R289" s="178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s="35" customFormat="1">
      <c r="A290" s="66" t="s">
        <v>538</v>
      </c>
      <c r="B290"/>
      <c r="C290" s="68"/>
      <c r="D290" s="178"/>
      <c r="E290"/>
      <c r="F290" s="68"/>
      <c r="G290" s="178"/>
      <c r="H290"/>
      <c r="I290"/>
      <c r="J290" s="177"/>
      <c r="K290"/>
      <c r="L290" s="68"/>
      <c r="M290" s="177"/>
      <c r="N290" s="70"/>
      <c r="O290" s="178"/>
      <c r="P290"/>
      <c r="Q290"/>
      <c r="R290" s="178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s="35" customFormat="1">
      <c r="A291" s="66" t="s">
        <v>539</v>
      </c>
      <c r="B291"/>
      <c r="C291" s="68"/>
      <c r="D291" s="178"/>
      <c r="E291"/>
      <c r="F291" s="68"/>
      <c r="G291" s="178"/>
      <c r="H291"/>
      <c r="I291"/>
      <c r="J291" s="177"/>
      <c r="K291"/>
      <c r="L291" s="68"/>
      <c r="M291" s="177"/>
      <c r="N291" s="70"/>
      <c r="O291" s="178"/>
      <c r="P291"/>
      <c r="Q291"/>
      <c r="R291" s="178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s="35" customFormat="1">
      <c r="A292" s="66" t="s">
        <v>540</v>
      </c>
      <c r="B292"/>
      <c r="C292" s="68"/>
      <c r="D292" s="178"/>
      <c r="E292"/>
      <c r="F292" s="68"/>
      <c r="G292" s="178"/>
      <c r="H292"/>
      <c r="I292"/>
      <c r="J292" s="177"/>
      <c r="K292"/>
      <c r="L292" s="68"/>
      <c r="M292" s="177"/>
      <c r="N292" s="70"/>
      <c r="O292" s="178"/>
      <c r="P292"/>
      <c r="Q292"/>
      <c r="R292" s="178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s="35" customFormat="1">
      <c r="A293" s="66" t="s">
        <v>541</v>
      </c>
      <c r="B293"/>
      <c r="C293" s="68"/>
      <c r="D293" s="178"/>
      <c r="E293"/>
      <c r="F293" s="68"/>
      <c r="G293" s="178"/>
      <c r="H293"/>
      <c r="I293"/>
      <c r="J293" s="177"/>
      <c r="K293"/>
      <c r="L293" s="68"/>
      <c r="M293" s="177"/>
      <c r="N293" s="70"/>
      <c r="O293" s="178"/>
      <c r="P293"/>
      <c r="Q293"/>
      <c r="R293" s="178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s="35" customFormat="1">
      <c r="A294" s="66" t="s">
        <v>542</v>
      </c>
      <c r="B294"/>
      <c r="C294" s="68"/>
      <c r="D294" s="178"/>
      <c r="E294"/>
      <c r="F294" s="68"/>
      <c r="G294" s="178"/>
      <c r="H294"/>
      <c r="I294"/>
      <c r="J294" s="177"/>
      <c r="K294"/>
      <c r="L294" s="68"/>
      <c r="M294" s="177"/>
      <c r="N294" s="70"/>
      <c r="O294" s="178"/>
      <c r="P294"/>
      <c r="Q294"/>
      <c r="R294" s="178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s="35" customFormat="1">
      <c r="A295" s="66" t="s">
        <v>543</v>
      </c>
      <c r="B295"/>
      <c r="C295" s="68"/>
      <c r="D295" s="178"/>
      <c r="E295"/>
      <c r="F295" s="68"/>
      <c r="G295" s="178"/>
      <c r="H295"/>
      <c r="I295"/>
      <c r="J295" s="177"/>
      <c r="K295"/>
      <c r="L295" s="68"/>
      <c r="M295" s="177"/>
      <c r="N295" s="70"/>
      <c r="O295" s="178"/>
      <c r="P295"/>
      <c r="Q295"/>
      <c r="R295" s="178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s="35" customFormat="1">
      <c r="A296" s="66" t="s">
        <v>544</v>
      </c>
      <c r="B296"/>
      <c r="C296" s="68"/>
      <c r="D296" s="178"/>
      <c r="E296"/>
      <c r="F296" s="68"/>
      <c r="G296" s="178"/>
      <c r="H296"/>
      <c r="I296"/>
      <c r="J296" s="177"/>
      <c r="K296"/>
      <c r="L296" s="68"/>
      <c r="M296" s="177"/>
      <c r="N296" s="70"/>
      <c r="O296" s="178"/>
      <c r="P296"/>
      <c r="Q296"/>
      <c r="R296" s="178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s="35" customFormat="1">
      <c r="A297" s="66" t="s">
        <v>545</v>
      </c>
      <c r="B297"/>
      <c r="C297" s="68"/>
      <c r="D297" s="178"/>
      <c r="E297"/>
      <c r="F297" s="68"/>
      <c r="G297" s="178"/>
      <c r="H297"/>
      <c r="I297"/>
      <c r="J297" s="177"/>
      <c r="K297"/>
      <c r="L297" s="68"/>
      <c r="M297" s="177"/>
      <c r="N297" s="70"/>
      <c r="O297" s="178"/>
      <c r="P297"/>
      <c r="Q297"/>
      <c r="R297" s="178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s="35" customFormat="1">
      <c r="A298" s="66" t="s">
        <v>546</v>
      </c>
      <c r="B298"/>
      <c r="C298" s="68"/>
      <c r="D298" s="178"/>
      <c r="E298"/>
      <c r="F298" s="68"/>
      <c r="G298" s="178"/>
      <c r="H298"/>
      <c r="I298"/>
      <c r="J298" s="177"/>
      <c r="K298"/>
      <c r="L298" s="68"/>
      <c r="M298" s="177"/>
      <c r="N298" s="70"/>
      <c r="O298" s="178"/>
      <c r="P298"/>
      <c r="Q298"/>
      <c r="R298" s="17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s="35" customFormat="1">
      <c r="A299" s="66" t="s">
        <v>547</v>
      </c>
      <c r="B299"/>
      <c r="C299" s="68"/>
      <c r="D299" s="178"/>
      <c r="E299"/>
      <c r="F299" s="68"/>
      <c r="G299" s="178"/>
      <c r="H299"/>
      <c r="I299"/>
      <c r="J299" s="177"/>
      <c r="K299"/>
      <c r="L299" s="68"/>
      <c r="M299" s="177"/>
      <c r="N299" s="70"/>
      <c r="O299" s="178"/>
      <c r="P299"/>
      <c r="Q299"/>
      <c r="R299" s="178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s="35" customFormat="1">
      <c r="A300" s="66" t="s">
        <v>548</v>
      </c>
      <c r="B300"/>
      <c r="C300" s="68"/>
      <c r="D300" s="178"/>
      <c r="E300"/>
      <c r="F300" s="68"/>
      <c r="G300" s="178"/>
      <c r="H300"/>
      <c r="I300"/>
      <c r="J300" s="177"/>
      <c r="K300"/>
      <c r="L300" s="68"/>
      <c r="M300" s="177"/>
      <c r="N300" s="70"/>
      <c r="O300" s="178"/>
      <c r="P300"/>
      <c r="Q300"/>
      <c r="R300" s="178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s="35" customFormat="1">
      <c r="A301" s="66" t="s">
        <v>549</v>
      </c>
      <c r="B301"/>
      <c r="C301" s="68"/>
      <c r="D301" s="178"/>
      <c r="E301"/>
      <c r="F301" s="68"/>
      <c r="G301" s="178"/>
      <c r="H301"/>
      <c r="I301"/>
      <c r="J301" s="177"/>
      <c r="K301"/>
      <c r="L301" s="68"/>
      <c r="M301" s="177"/>
      <c r="N301" s="70"/>
      <c r="O301" s="178"/>
      <c r="P301"/>
      <c r="Q301"/>
      <c r="R301" s="178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s="35" customFormat="1">
      <c r="A302" s="66" t="s">
        <v>550</v>
      </c>
      <c r="B302"/>
      <c r="C302" s="68"/>
      <c r="D302" s="178"/>
      <c r="E302"/>
      <c r="F302" s="68"/>
      <c r="G302" s="178"/>
      <c r="H302"/>
      <c r="I302"/>
      <c r="J302" s="177"/>
      <c r="K302"/>
      <c r="L302" s="68"/>
      <c r="M302" s="177"/>
      <c r="N302" s="70"/>
      <c r="O302" s="178"/>
      <c r="P302"/>
      <c r="Q302"/>
      <c r="R302" s="178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s="35" customFormat="1">
      <c r="A303" s="66" t="s">
        <v>551</v>
      </c>
      <c r="B303"/>
      <c r="C303" s="68"/>
      <c r="D303" s="178"/>
      <c r="E303"/>
      <c r="F303" s="68"/>
      <c r="G303" s="178"/>
      <c r="H303"/>
      <c r="I303"/>
      <c r="J303" s="177"/>
      <c r="K303"/>
      <c r="L303" s="68"/>
      <c r="M303" s="177"/>
      <c r="N303" s="70"/>
      <c r="O303" s="178"/>
      <c r="P303"/>
      <c r="Q303"/>
      <c r="R303" s="178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s="35" customFormat="1">
      <c r="A304" s="66" t="s">
        <v>552</v>
      </c>
      <c r="B304"/>
      <c r="C304" s="68"/>
      <c r="D304" s="178"/>
      <c r="E304"/>
      <c r="F304" s="68"/>
      <c r="G304" s="178"/>
      <c r="H304"/>
      <c r="I304"/>
      <c r="J304" s="177"/>
      <c r="K304"/>
      <c r="L304" s="68"/>
      <c r="M304" s="177"/>
      <c r="N304" s="70"/>
      <c r="O304" s="178"/>
      <c r="P304"/>
      <c r="Q304"/>
      <c r="R304" s="178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s="35" customFormat="1">
      <c r="A305" s="66" t="s">
        <v>553</v>
      </c>
      <c r="B305"/>
      <c r="C305" s="68"/>
      <c r="D305" s="178"/>
      <c r="E305"/>
      <c r="F305" s="68"/>
      <c r="G305" s="178"/>
      <c r="H305"/>
      <c r="I305"/>
      <c r="J305" s="177"/>
      <c r="K305"/>
      <c r="L305" s="68"/>
      <c r="M305" s="177"/>
      <c r="N305" s="70"/>
      <c r="O305" s="178"/>
      <c r="P305"/>
      <c r="Q305"/>
      <c r="R305" s="178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s="35" customFormat="1">
      <c r="A306" s="66" t="s">
        <v>554</v>
      </c>
      <c r="B306"/>
      <c r="C306" s="68"/>
      <c r="D306" s="178"/>
      <c r="E306"/>
      <c r="F306" s="68"/>
      <c r="G306" s="178"/>
      <c r="H306"/>
      <c r="I306"/>
      <c r="J306" s="177"/>
      <c r="K306"/>
      <c r="L306" s="68"/>
      <c r="M306" s="177"/>
      <c r="N306" s="70"/>
      <c r="O306" s="178"/>
      <c r="P306"/>
      <c r="Q306"/>
      <c r="R306" s="178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s="35" customFormat="1">
      <c r="A307" s="66" t="s">
        <v>555</v>
      </c>
      <c r="B307"/>
      <c r="C307" s="68"/>
      <c r="D307" s="178"/>
      <c r="E307"/>
      <c r="F307" s="68"/>
      <c r="G307" s="178"/>
      <c r="H307"/>
      <c r="I307"/>
      <c r="J307" s="177"/>
      <c r="K307"/>
      <c r="L307" s="68"/>
      <c r="M307" s="177"/>
      <c r="N307" s="70"/>
      <c r="O307" s="178"/>
      <c r="P307"/>
      <c r="Q307"/>
      <c r="R307" s="178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s="35" customFormat="1">
      <c r="A308" s="66" t="s">
        <v>556</v>
      </c>
      <c r="B308"/>
      <c r="C308" s="68"/>
      <c r="D308" s="178"/>
      <c r="E308"/>
      <c r="F308" s="68"/>
      <c r="G308" s="178"/>
      <c r="H308"/>
      <c r="I308"/>
      <c r="J308" s="177"/>
      <c r="K308"/>
      <c r="L308" s="68"/>
      <c r="M308" s="177"/>
      <c r="N308" s="70"/>
      <c r="O308" s="178"/>
      <c r="P308"/>
      <c r="Q308"/>
      <c r="R308" s="17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s="35" customFormat="1">
      <c r="A309" s="66" t="s">
        <v>557</v>
      </c>
      <c r="B309"/>
      <c r="C309" s="68"/>
      <c r="D309" s="178"/>
      <c r="E309"/>
      <c r="F309" s="68"/>
      <c r="G309" s="178"/>
      <c r="H309"/>
      <c r="I309"/>
      <c r="J309" s="177"/>
      <c r="K309"/>
      <c r="L309" s="68"/>
      <c r="M309" s="177"/>
      <c r="N309" s="70"/>
      <c r="O309" s="178"/>
      <c r="P309"/>
      <c r="Q309"/>
      <c r="R309" s="178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1" spans="1:32" s="35" customFormat="1">
      <c r="A311" t="s">
        <v>611</v>
      </c>
      <c r="B311"/>
      <c r="C311" s="68"/>
      <c r="D311" s="178"/>
      <c r="E311"/>
      <c r="F311" s="68"/>
      <c r="G311" s="178"/>
      <c r="H311"/>
      <c r="I311"/>
      <c r="J311" s="177"/>
      <c r="K311"/>
      <c r="L311" s="68"/>
      <c r="M311" s="177"/>
      <c r="N311" s="70"/>
      <c r="O311" s="178"/>
      <c r="P311"/>
      <c r="Q311"/>
      <c r="R311" s="178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2A0B-6EB0-49E2-AA57-529A1B052836}">
  <sheetPr>
    <tabColor rgb="FFFFFF00"/>
  </sheetPr>
  <dimension ref="A1:AK277"/>
  <sheetViews>
    <sheetView topLeftCell="B1" workbookViewId="0">
      <selection activeCell="Y26" sqref="Y26"/>
    </sheetView>
  </sheetViews>
  <sheetFormatPr defaultRowHeight="14.25"/>
  <cols>
    <col min="2" max="2" width="10.33203125" style="35" customWidth="1"/>
    <col min="3" max="3" width="9.06640625" style="68"/>
    <col min="4" max="4" width="9.796875" customWidth="1"/>
    <col min="5" max="5" width="13" style="68" customWidth="1"/>
    <col min="6" max="6" width="13" style="102" customWidth="1"/>
    <col min="7" max="7" width="10.06640625" customWidth="1"/>
    <col min="8" max="8" width="10.06640625" style="68" customWidth="1"/>
    <col min="9" max="9" width="10.06640625" style="102" customWidth="1"/>
    <col min="10" max="13" width="10.06640625" customWidth="1"/>
    <col min="14" max="15" width="10.06640625" style="68" customWidth="1"/>
    <col min="16" max="16" width="10.06640625" customWidth="1"/>
    <col min="17" max="17" width="14.796875" style="70" customWidth="1"/>
    <col min="18" max="18" width="10.06640625" style="102" customWidth="1"/>
    <col min="19" max="19" width="10.06640625" customWidth="1"/>
    <col min="20" max="20" width="10.06640625" style="68" customWidth="1"/>
    <col min="21" max="21" width="10.06640625" customWidth="1"/>
    <col min="22" max="22" width="8.53125" customWidth="1"/>
    <col min="23" max="23" width="8.59765625" customWidth="1"/>
    <col min="25" max="25" width="9.06640625" style="102"/>
    <col min="28" max="33" width="0" style="68" hidden="1" customWidth="1"/>
    <col min="34" max="37" width="9.06640625" style="68"/>
  </cols>
  <sheetData>
    <row r="1" spans="1:37">
      <c r="E1" s="68" t="s">
        <v>476</v>
      </c>
    </row>
    <row r="2" spans="1:37">
      <c r="D2" s="67" t="s">
        <v>465</v>
      </c>
      <c r="E2" s="67" t="s">
        <v>465</v>
      </c>
      <c r="F2" s="107" t="s">
        <v>465</v>
      </c>
      <c r="G2" s="67" t="s">
        <v>466</v>
      </c>
      <c r="H2" s="67" t="s">
        <v>466</v>
      </c>
      <c r="I2" s="107" t="s">
        <v>466</v>
      </c>
      <c r="J2" s="67" t="s">
        <v>467</v>
      </c>
      <c r="K2" s="67" t="s">
        <v>467</v>
      </c>
      <c r="L2" s="67" t="s">
        <v>467</v>
      </c>
      <c r="M2" s="67" t="s">
        <v>468</v>
      </c>
      <c r="N2" s="67" t="s">
        <v>468</v>
      </c>
      <c r="O2" s="67" t="s">
        <v>468</v>
      </c>
      <c r="P2" s="67" t="s">
        <v>473</v>
      </c>
      <c r="Q2" s="71" t="s">
        <v>558</v>
      </c>
      <c r="R2" s="108" t="s">
        <v>558</v>
      </c>
      <c r="S2" s="67" t="s">
        <v>469</v>
      </c>
      <c r="T2" s="67" t="s">
        <v>469</v>
      </c>
      <c r="U2" s="67" t="s">
        <v>470</v>
      </c>
      <c r="V2" s="67"/>
      <c r="W2" s="67" t="s">
        <v>474</v>
      </c>
      <c r="X2" s="67" t="s">
        <v>469</v>
      </c>
      <c r="Y2" s="102" t="s">
        <v>593</v>
      </c>
    </row>
    <row r="3" spans="1:37">
      <c r="A3" t="s">
        <v>5</v>
      </c>
      <c r="B3" s="35" t="s">
        <v>585</v>
      </c>
      <c r="C3" s="68" t="s">
        <v>587</v>
      </c>
      <c r="D3" s="67" t="s">
        <v>473</v>
      </c>
      <c r="E3" s="69" t="s">
        <v>559</v>
      </c>
      <c r="F3" s="108" t="s">
        <v>588</v>
      </c>
      <c r="G3" s="67" t="s">
        <v>473</v>
      </c>
      <c r="H3" s="69" t="s">
        <v>559</v>
      </c>
      <c r="I3" s="108" t="s">
        <v>588</v>
      </c>
      <c r="J3" s="67" t="s">
        <v>473</v>
      </c>
      <c r="K3" s="69" t="s">
        <v>559</v>
      </c>
      <c r="L3" s="69" t="s">
        <v>588</v>
      </c>
      <c r="M3" s="67" t="s">
        <v>473</v>
      </c>
      <c r="N3" s="69" t="s">
        <v>559</v>
      </c>
      <c r="O3" s="69" t="s">
        <v>588</v>
      </c>
      <c r="P3" s="67"/>
      <c r="Q3" s="71" t="s">
        <v>559</v>
      </c>
      <c r="R3" s="108" t="s">
        <v>588</v>
      </c>
      <c r="S3" s="67" t="s">
        <v>473</v>
      </c>
      <c r="T3" s="69" t="s">
        <v>559</v>
      </c>
      <c r="U3" s="67" t="s">
        <v>473</v>
      </c>
      <c r="V3" s="69" t="s">
        <v>559</v>
      </c>
      <c r="W3" s="67" t="s">
        <v>473</v>
      </c>
      <c r="X3" s="69" t="s">
        <v>559</v>
      </c>
      <c r="Y3" s="108" t="s">
        <v>588</v>
      </c>
      <c r="AA3" t="s">
        <v>5</v>
      </c>
      <c r="AB3" s="68" t="s">
        <v>594</v>
      </c>
      <c r="AC3" s="68" t="s">
        <v>595</v>
      </c>
      <c r="AD3" s="68" t="s">
        <v>596</v>
      </c>
      <c r="AE3" s="68" t="s">
        <v>597</v>
      </c>
      <c r="AF3" s="68" t="s">
        <v>598</v>
      </c>
      <c r="AG3" s="68" t="s">
        <v>599</v>
      </c>
      <c r="AH3" s="68" t="s">
        <v>600</v>
      </c>
      <c r="AI3" s="68" t="s">
        <v>601</v>
      </c>
      <c r="AJ3" s="68" t="s">
        <v>602</v>
      </c>
      <c r="AK3" s="68" t="s">
        <v>603</v>
      </c>
    </row>
    <row r="4" spans="1:37">
      <c r="A4">
        <v>1701</v>
      </c>
      <c r="B4" s="35">
        <v>1</v>
      </c>
      <c r="C4" s="68">
        <v>24.72</v>
      </c>
      <c r="S4">
        <v>1</v>
      </c>
      <c r="T4" s="68">
        <v>0.06</v>
      </c>
      <c r="W4">
        <v>1</v>
      </c>
      <c r="X4">
        <v>0.06</v>
      </c>
      <c r="Y4" s="102">
        <f>X4*B4*C4</f>
        <v>1.4831999999999999</v>
      </c>
      <c r="AA4">
        <v>1701</v>
      </c>
      <c r="AJ4" s="68">
        <v>0.06</v>
      </c>
      <c r="AK4" s="68">
        <v>1.4832E-2</v>
      </c>
    </row>
    <row r="5" spans="1:37">
      <c r="A5">
        <v>1704</v>
      </c>
      <c r="B5" s="35">
        <v>1</v>
      </c>
      <c r="C5" s="68">
        <v>24.72</v>
      </c>
      <c r="G5">
        <v>1</v>
      </c>
      <c r="H5" s="68">
        <v>0.02</v>
      </c>
      <c r="I5" s="102">
        <f>H5*B5*C5</f>
        <v>0.49440000000000001</v>
      </c>
      <c r="P5">
        <v>1</v>
      </c>
      <c r="Q5" s="70">
        <f>H5</f>
        <v>0.02</v>
      </c>
      <c r="R5" s="102">
        <f>Q5*B5*C5</f>
        <v>0.49440000000000001</v>
      </c>
      <c r="AA5">
        <v>1704</v>
      </c>
      <c r="AD5" s="68">
        <v>0.02</v>
      </c>
      <c r="AE5" s="68">
        <v>4.9440000000000005E-3</v>
      </c>
    </row>
    <row r="6" spans="1:37">
      <c r="A6">
        <v>1718</v>
      </c>
      <c r="B6" s="35">
        <v>1</v>
      </c>
      <c r="C6" s="68">
        <v>24.72</v>
      </c>
      <c r="D6">
        <v>1</v>
      </c>
      <c r="E6" s="68">
        <v>1.6E-2</v>
      </c>
      <c r="F6" s="102">
        <f>E6*B6*C6</f>
        <v>0.39551999999999998</v>
      </c>
      <c r="G6">
        <v>1</v>
      </c>
      <c r="H6" s="68">
        <v>0.03</v>
      </c>
      <c r="I6" s="102">
        <f>H6*B6*C6</f>
        <v>0.74159999999999993</v>
      </c>
      <c r="P6">
        <v>2</v>
      </c>
      <c r="Q6" s="70">
        <f>(H6+E6)/2</f>
        <v>2.3E-2</v>
      </c>
      <c r="R6" s="102">
        <f>Q6*B6*C6</f>
        <v>0.56855999999999995</v>
      </c>
      <c r="AA6">
        <v>1718</v>
      </c>
      <c r="AB6" s="68">
        <v>1.6E-2</v>
      </c>
      <c r="AC6" s="68">
        <v>3.9344000000000002E-3</v>
      </c>
      <c r="AD6" s="68">
        <v>0.03</v>
      </c>
      <c r="AE6" s="68">
        <v>7.3769999999999999E-3</v>
      </c>
    </row>
    <row r="7" spans="1:37">
      <c r="A7">
        <v>1722</v>
      </c>
      <c r="B7" s="35">
        <v>1</v>
      </c>
      <c r="C7" s="68">
        <v>24.59</v>
      </c>
      <c r="S7">
        <v>2</v>
      </c>
      <c r="T7" s="68">
        <v>2.5000000000000001E-2</v>
      </c>
      <c r="W7">
        <v>2</v>
      </c>
      <c r="X7">
        <v>2.5000000000000001E-2</v>
      </c>
      <c r="Y7" s="102">
        <f>X7*B7*C7</f>
        <v>0.61475000000000002</v>
      </c>
      <c r="AA7">
        <v>1722</v>
      </c>
      <c r="AJ7" s="68">
        <v>2.5000000000000001E-2</v>
      </c>
      <c r="AK7" s="68">
        <v>6.1475000000000002E-3</v>
      </c>
    </row>
    <row r="8" spans="1:37">
      <c r="A8">
        <v>1724</v>
      </c>
      <c r="B8" s="35">
        <v>1</v>
      </c>
      <c r="C8" s="68">
        <v>24.59</v>
      </c>
      <c r="S8">
        <v>2</v>
      </c>
      <c r="T8" s="68">
        <v>4.4999999999999998E-2</v>
      </c>
      <c r="W8">
        <v>2</v>
      </c>
      <c r="X8">
        <v>4.4999999999999998E-2</v>
      </c>
      <c r="Y8" s="102">
        <f>X8*B8*C8</f>
        <v>1.1065499999999999</v>
      </c>
      <c r="AA8">
        <v>1724</v>
      </c>
      <c r="AJ8" s="68">
        <v>4.4999999999999998E-2</v>
      </c>
      <c r="AK8" s="68">
        <v>1.1065500000000001E-2</v>
      </c>
    </row>
    <row r="9" spans="1:37">
      <c r="A9">
        <v>1726</v>
      </c>
      <c r="B9" s="35">
        <v>1</v>
      </c>
      <c r="C9" s="68">
        <v>24.59</v>
      </c>
      <c r="G9">
        <v>1</v>
      </c>
      <c r="H9" s="68">
        <v>0.1</v>
      </c>
      <c r="I9" s="102">
        <f>H9*B9*C9</f>
        <v>2.4590000000000001</v>
      </c>
      <c r="P9">
        <v>1</v>
      </c>
      <c r="Q9" s="70">
        <f>H9</f>
        <v>0.1</v>
      </c>
      <c r="R9" s="102">
        <f>Q9*B9*C9</f>
        <v>2.4590000000000001</v>
      </c>
      <c r="AA9">
        <v>1726</v>
      </c>
      <c r="AD9" s="68">
        <v>0.1</v>
      </c>
      <c r="AE9" s="68">
        <v>2.4590000000000001E-2</v>
      </c>
    </row>
    <row r="10" spans="1:37">
      <c r="A10">
        <v>1729</v>
      </c>
      <c r="B10" s="35">
        <v>1</v>
      </c>
      <c r="C10" s="68">
        <v>24.59</v>
      </c>
      <c r="S10">
        <v>1</v>
      </c>
      <c r="T10" s="68">
        <v>1.6E-2</v>
      </c>
      <c r="W10">
        <v>1</v>
      </c>
      <c r="X10">
        <v>1.6E-2</v>
      </c>
      <c r="Y10" s="102">
        <f t="shared" ref="Y10:Y18" si="0">X10*B10*C10</f>
        <v>0.39344000000000001</v>
      </c>
      <c r="AA10">
        <v>1729</v>
      </c>
      <c r="AJ10" s="68">
        <v>1.6E-2</v>
      </c>
      <c r="AK10" s="68">
        <v>3.9344000000000002E-3</v>
      </c>
    </row>
    <row r="11" spans="1:37">
      <c r="A11">
        <v>1730</v>
      </c>
      <c r="B11" s="35">
        <v>1</v>
      </c>
      <c r="C11" s="68">
        <v>24.74</v>
      </c>
      <c r="S11">
        <v>1</v>
      </c>
      <c r="T11" s="68">
        <v>0.08</v>
      </c>
      <c r="W11">
        <v>1</v>
      </c>
      <c r="X11">
        <v>0.08</v>
      </c>
      <c r="Y11" s="102">
        <f t="shared" si="0"/>
        <v>1.9791999999999998</v>
      </c>
      <c r="AA11">
        <v>1730</v>
      </c>
      <c r="AJ11" s="68">
        <v>0.08</v>
      </c>
      <c r="AK11" s="68">
        <v>1.9792000000000001E-2</v>
      </c>
    </row>
    <row r="12" spans="1:37">
      <c r="A12">
        <v>1731</v>
      </c>
      <c r="B12" s="35">
        <v>1</v>
      </c>
      <c r="C12" s="68">
        <v>24.74</v>
      </c>
      <c r="S12">
        <v>1</v>
      </c>
      <c r="T12" s="68">
        <v>1.1999999999999999E-2</v>
      </c>
      <c r="W12">
        <v>1</v>
      </c>
      <c r="X12">
        <v>1.1999999999999999E-2</v>
      </c>
      <c r="Y12" s="102">
        <f t="shared" si="0"/>
        <v>0.29687999999999992</v>
      </c>
      <c r="AA12">
        <v>1731</v>
      </c>
      <c r="AJ12" s="68">
        <v>1.1999999999999999E-2</v>
      </c>
      <c r="AK12" s="68">
        <v>2.9687999999999997E-3</v>
      </c>
    </row>
    <row r="13" spans="1:37">
      <c r="A13">
        <v>1734</v>
      </c>
      <c r="B13" s="35">
        <v>1</v>
      </c>
      <c r="C13" s="68">
        <v>24.74</v>
      </c>
      <c r="S13">
        <v>1</v>
      </c>
      <c r="T13" s="68">
        <v>1.6666666666666666E-2</v>
      </c>
      <c r="W13">
        <v>1</v>
      </c>
      <c r="X13">
        <v>1.6666666666666666E-2</v>
      </c>
      <c r="Y13" s="102">
        <f t="shared" si="0"/>
        <v>0.41233333333333327</v>
      </c>
      <c r="AA13">
        <v>1734</v>
      </c>
      <c r="AJ13" s="68">
        <v>1.6666666666666666E-2</v>
      </c>
      <c r="AK13" s="68">
        <v>4.123333333333333E-3</v>
      </c>
    </row>
    <row r="14" spans="1:37">
      <c r="A14">
        <v>1736</v>
      </c>
      <c r="B14" s="35">
        <v>1</v>
      </c>
      <c r="C14" s="68">
        <v>24.74</v>
      </c>
      <c r="S14">
        <v>2</v>
      </c>
      <c r="T14" s="68">
        <v>5.0000000000000001E-3</v>
      </c>
      <c r="W14">
        <v>2</v>
      </c>
      <c r="X14">
        <v>5.0000000000000001E-3</v>
      </c>
      <c r="Y14" s="102">
        <f t="shared" si="0"/>
        <v>0.12369999999999999</v>
      </c>
      <c r="AA14">
        <v>1736</v>
      </c>
      <c r="AJ14" s="68">
        <v>5.0000000000000001E-3</v>
      </c>
      <c r="AK14" s="68">
        <v>1.237E-3</v>
      </c>
    </row>
    <row r="15" spans="1:37">
      <c r="A15">
        <v>1737</v>
      </c>
      <c r="B15" s="35">
        <v>1</v>
      </c>
      <c r="C15" s="68">
        <v>24.74</v>
      </c>
      <c r="M15">
        <v>1</v>
      </c>
      <c r="N15" s="68">
        <v>1.4545454545454545E-2</v>
      </c>
      <c r="O15" s="68">
        <f>N15*B15*C15</f>
        <v>0.35985454545454543</v>
      </c>
      <c r="P15">
        <v>1</v>
      </c>
      <c r="Q15" s="70">
        <f>N15</f>
        <v>1.4545454545454545E-2</v>
      </c>
      <c r="R15" s="102">
        <f>Q15*B15*C15</f>
        <v>0.35985454545454543</v>
      </c>
      <c r="S15">
        <v>2</v>
      </c>
      <c r="T15" s="68">
        <v>1.381818181818182E-2</v>
      </c>
      <c r="W15">
        <v>2</v>
      </c>
      <c r="X15" s="68">
        <v>1.381818181818182E-2</v>
      </c>
      <c r="Y15" s="102">
        <f t="shared" si="0"/>
        <v>0.34186181818181821</v>
      </c>
      <c r="AA15">
        <v>1737</v>
      </c>
      <c r="AH15" s="68">
        <v>1.4545454545454545E-2</v>
      </c>
      <c r="AI15" s="68">
        <v>3.5985454545454545E-3</v>
      </c>
      <c r="AJ15" s="68">
        <v>1.381818181818182E-2</v>
      </c>
      <c r="AK15" s="68">
        <v>3.4186181818181825E-3</v>
      </c>
    </row>
    <row r="16" spans="1:37">
      <c r="A16">
        <v>1738</v>
      </c>
      <c r="B16" s="35">
        <v>1</v>
      </c>
      <c r="C16" s="68">
        <v>24.74</v>
      </c>
      <c r="S16">
        <v>2</v>
      </c>
      <c r="T16" s="68">
        <v>3.833333333333333E-2</v>
      </c>
      <c r="W16">
        <v>2</v>
      </c>
      <c r="X16">
        <v>3.833333333333333E-2</v>
      </c>
      <c r="Y16" s="102">
        <f t="shared" si="0"/>
        <v>0.94836666666666658</v>
      </c>
      <c r="AA16">
        <v>1738</v>
      </c>
      <c r="AJ16" s="68">
        <v>3.833333333333333E-2</v>
      </c>
      <c r="AK16" s="68">
        <v>9.4836666666666663E-3</v>
      </c>
    </row>
    <row r="17" spans="1:37">
      <c r="A17">
        <v>1739</v>
      </c>
      <c r="B17" s="35">
        <v>1</v>
      </c>
      <c r="C17" s="68">
        <v>24.74</v>
      </c>
      <c r="S17">
        <v>1</v>
      </c>
      <c r="T17" s="68">
        <v>1.6666666666666666E-2</v>
      </c>
      <c r="W17">
        <v>1</v>
      </c>
      <c r="X17">
        <v>1.6666666666666666E-2</v>
      </c>
      <c r="Y17" s="102">
        <f t="shared" si="0"/>
        <v>0.41233333333333327</v>
      </c>
      <c r="AA17">
        <v>1739</v>
      </c>
      <c r="AJ17" s="68">
        <v>1.6666666666666666E-2</v>
      </c>
      <c r="AK17" s="68">
        <v>4.123333333333333E-3</v>
      </c>
    </row>
    <row r="18" spans="1:37">
      <c r="A18">
        <v>1740</v>
      </c>
      <c r="B18" s="35">
        <v>1</v>
      </c>
      <c r="C18" s="68">
        <v>24.74</v>
      </c>
      <c r="S18">
        <v>1</v>
      </c>
      <c r="T18" s="68">
        <v>1.3000000000000001E-2</v>
      </c>
      <c r="W18">
        <v>1</v>
      </c>
      <c r="X18">
        <v>1.3000000000000001E-2</v>
      </c>
      <c r="Y18" s="102">
        <f t="shared" si="0"/>
        <v>0.32162000000000002</v>
      </c>
      <c r="AA18">
        <v>1740</v>
      </c>
      <c r="AJ18" s="68">
        <v>1.3000000000000001E-2</v>
      </c>
      <c r="AK18" s="68">
        <v>3.2162000000000002E-3</v>
      </c>
    </row>
    <row r="19" spans="1:37">
      <c r="A19">
        <v>1741</v>
      </c>
      <c r="B19" s="35">
        <v>1</v>
      </c>
      <c r="C19" s="68">
        <v>24.74</v>
      </c>
      <c r="G19">
        <v>1</v>
      </c>
      <c r="H19" s="68">
        <v>0.12</v>
      </c>
      <c r="I19" s="102">
        <f>H19*B19*C19</f>
        <v>2.9687999999999999</v>
      </c>
      <c r="P19">
        <v>1</v>
      </c>
      <c r="Q19" s="70">
        <f>H19</f>
        <v>0.12</v>
      </c>
      <c r="R19" s="102">
        <f>Q19*B19*C19</f>
        <v>2.9687999999999999</v>
      </c>
      <c r="AA19">
        <v>1741</v>
      </c>
      <c r="AD19" s="68">
        <v>0.12</v>
      </c>
      <c r="AE19" s="68">
        <v>2.9687999999999999E-2</v>
      </c>
    </row>
    <row r="20" spans="1:37">
      <c r="A20">
        <v>1749</v>
      </c>
      <c r="B20" s="35">
        <v>1</v>
      </c>
      <c r="C20" s="68">
        <v>24.74</v>
      </c>
      <c r="D20">
        <v>2</v>
      </c>
      <c r="E20" s="68">
        <v>0.36085326086956526</v>
      </c>
      <c r="F20" s="102">
        <f>E20*B20*C20</f>
        <v>8.9275096739130433</v>
      </c>
      <c r="P20">
        <v>2</v>
      </c>
      <c r="Q20" s="70">
        <f>E20</f>
        <v>0.36085326086956526</v>
      </c>
      <c r="R20" s="102">
        <f>Q20*B20*C20</f>
        <v>8.9275096739130433</v>
      </c>
      <c r="AA20">
        <v>1749</v>
      </c>
      <c r="AB20" s="68">
        <v>0.36085326086956526</v>
      </c>
      <c r="AC20" s="68">
        <v>8.927509673913045E-2</v>
      </c>
    </row>
    <row r="21" spans="1:37">
      <c r="A21">
        <v>1756</v>
      </c>
      <c r="B21" s="35">
        <v>1</v>
      </c>
      <c r="C21" s="68">
        <v>24.74</v>
      </c>
      <c r="S21">
        <v>1</v>
      </c>
      <c r="T21" s="68">
        <v>0.02</v>
      </c>
      <c r="W21">
        <v>1</v>
      </c>
      <c r="X21">
        <v>0.02</v>
      </c>
      <c r="Y21" s="102">
        <f>X21*B21*C21</f>
        <v>0.49479999999999996</v>
      </c>
      <c r="AA21">
        <v>1756</v>
      </c>
      <c r="AJ21" s="68">
        <v>0.02</v>
      </c>
      <c r="AK21" s="68">
        <v>4.9480000000000001E-3</v>
      </c>
    </row>
    <row r="22" spans="1:37">
      <c r="A22">
        <v>1757</v>
      </c>
      <c r="B22" s="35">
        <v>1</v>
      </c>
      <c r="C22" s="68">
        <v>24.74</v>
      </c>
      <c r="G22">
        <v>1</v>
      </c>
      <c r="H22" s="68">
        <v>0.15</v>
      </c>
      <c r="I22" s="102">
        <f>H22*B22*C22</f>
        <v>3.7109999999999994</v>
      </c>
      <c r="P22">
        <v>1</v>
      </c>
      <c r="Q22" s="70">
        <f>H22</f>
        <v>0.15</v>
      </c>
      <c r="R22" s="102">
        <f>Q22*B22*C22</f>
        <v>3.7109999999999994</v>
      </c>
      <c r="AA22">
        <v>1757</v>
      </c>
      <c r="AD22" s="68">
        <v>0.15</v>
      </c>
      <c r="AE22" s="68">
        <v>3.7109999999999997E-2</v>
      </c>
    </row>
    <row r="23" spans="1:37">
      <c r="A23">
        <v>1759</v>
      </c>
      <c r="B23" s="35">
        <v>1</v>
      </c>
      <c r="C23" s="68">
        <v>24.74</v>
      </c>
      <c r="G23">
        <v>2</v>
      </c>
      <c r="H23" s="68">
        <v>0.24</v>
      </c>
      <c r="I23" s="102">
        <f>H23*B23*C23</f>
        <v>5.9375999999999998</v>
      </c>
      <c r="P23">
        <v>2</v>
      </c>
      <c r="Q23" s="70">
        <f>H23</f>
        <v>0.24</v>
      </c>
      <c r="R23" s="102">
        <f>Q23*B23*C23</f>
        <v>5.9375999999999998</v>
      </c>
      <c r="AA23">
        <v>1759</v>
      </c>
      <c r="AD23" s="68">
        <v>0.24</v>
      </c>
      <c r="AE23" s="68">
        <v>5.9375999999999998E-2</v>
      </c>
    </row>
    <row r="24" spans="1:37">
      <c r="A24">
        <v>1762</v>
      </c>
      <c r="B24" s="35">
        <v>1</v>
      </c>
      <c r="C24" s="68">
        <v>24.74</v>
      </c>
      <c r="S24">
        <v>1</v>
      </c>
      <c r="T24" s="68">
        <v>0.04</v>
      </c>
      <c r="W24">
        <v>1</v>
      </c>
      <c r="X24">
        <v>0.04</v>
      </c>
      <c r="Y24" s="102">
        <f>X24*B24*C24</f>
        <v>0.98959999999999992</v>
      </c>
      <c r="AA24">
        <v>1762</v>
      </c>
      <c r="AJ24" s="68">
        <v>0.04</v>
      </c>
      <c r="AK24" s="68">
        <v>0.01</v>
      </c>
    </row>
    <row r="25" spans="1:37">
      <c r="A25">
        <v>1764</v>
      </c>
      <c r="B25" s="35">
        <v>1</v>
      </c>
      <c r="C25" s="68">
        <v>18</v>
      </c>
      <c r="J25">
        <v>1</v>
      </c>
      <c r="K25">
        <v>0.5714285714285714</v>
      </c>
      <c r="P25">
        <v>1</v>
      </c>
      <c r="Q25" s="70">
        <f>K25</f>
        <v>0.5714285714285714</v>
      </c>
      <c r="R25" s="102">
        <f>Q25*B25*C25</f>
        <v>10.285714285714285</v>
      </c>
      <c r="S25">
        <v>6</v>
      </c>
      <c r="T25" s="68">
        <v>0.11333333333333333</v>
      </c>
      <c r="W25">
        <v>6</v>
      </c>
      <c r="X25" s="68">
        <v>0.11333333333333333</v>
      </c>
      <c r="Y25" s="102">
        <f>X25*B25*C25</f>
        <v>2.04</v>
      </c>
      <c r="AA25">
        <v>1764</v>
      </c>
      <c r="AF25" s="68">
        <v>0.5714285714285714</v>
      </c>
      <c r="AJ25" s="68">
        <v>0.11333333333333333</v>
      </c>
      <c r="AK25" s="68">
        <v>2.0399999999999998E-2</v>
      </c>
    </row>
    <row r="26" spans="1:37">
      <c r="A26">
        <v>1765</v>
      </c>
      <c r="B26" s="35">
        <v>1</v>
      </c>
      <c r="C26" s="68">
        <v>18</v>
      </c>
      <c r="U26">
        <v>3</v>
      </c>
      <c r="V26">
        <v>0.7029629629629629</v>
      </c>
      <c r="X26" s="68"/>
      <c r="AA26">
        <v>1765</v>
      </c>
    </row>
    <row r="27" spans="1:37">
      <c r="A27">
        <v>1766</v>
      </c>
      <c r="B27" s="35">
        <v>1</v>
      </c>
      <c r="C27" s="68">
        <v>18</v>
      </c>
      <c r="M27">
        <v>1</v>
      </c>
      <c r="N27" s="68">
        <v>0.25</v>
      </c>
      <c r="O27" s="68">
        <f>N27*B27*C27</f>
        <v>4.5</v>
      </c>
      <c r="P27">
        <v>1</v>
      </c>
      <c r="Q27" s="70">
        <f>N27</f>
        <v>0.25</v>
      </c>
      <c r="R27" s="102">
        <f>Q27*B27*C27</f>
        <v>4.5</v>
      </c>
      <c r="X27" s="68"/>
      <c r="AA27">
        <v>1766</v>
      </c>
      <c r="AH27" s="68">
        <v>0.25</v>
      </c>
      <c r="AI27" s="68">
        <v>4.4999999999999998E-2</v>
      </c>
    </row>
    <row r="28" spans="1:37">
      <c r="A28">
        <v>1767</v>
      </c>
      <c r="B28" s="35">
        <v>1</v>
      </c>
      <c r="C28" s="68">
        <v>18</v>
      </c>
      <c r="G28">
        <v>1</v>
      </c>
      <c r="H28" s="68">
        <v>0.16</v>
      </c>
      <c r="I28" s="102">
        <f>H28*B28*C28</f>
        <v>2.88</v>
      </c>
      <c r="P28">
        <v>1</v>
      </c>
      <c r="Q28" s="70">
        <f>H28</f>
        <v>0.16</v>
      </c>
      <c r="R28" s="102">
        <f>Q28*B28*C28</f>
        <v>2.88</v>
      </c>
      <c r="S28">
        <v>1</v>
      </c>
      <c r="T28" s="68">
        <v>0.05</v>
      </c>
      <c r="U28">
        <v>1</v>
      </c>
      <c r="V28">
        <v>1</v>
      </c>
      <c r="W28">
        <v>1</v>
      </c>
      <c r="X28" s="68">
        <v>0.05</v>
      </c>
      <c r="Y28" s="102">
        <f>X28*B28*C28</f>
        <v>0.9</v>
      </c>
      <c r="AA28">
        <v>1767</v>
      </c>
      <c r="AD28" s="68">
        <v>0.16</v>
      </c>
      <c r="AE28" s="68">
        <v>2.8799999999999999E-2</v>
      </c>
      <c r="AJ28" s="68">
        <v>0.05</v>
      </c>
      <c r="AK28" s="68">
        <v>8.9999999999999993E-3</v>
      </c>
    </row>
    <row r="29" spans="1:37">
      <c r="A29">
        <v>1769</v>
      </c>
      <c r="B29" s="35">
        <v>0.99009900990099009</v>
      </c>
      <c r="C29" s="68">
        <v>18</v>
      </c>
      <c r="M29">
        <v>1</v>
      </c>
      <c r="N29" s="68">
        <v>7.0000000000000007E-2</v>
      </c>
      <c r="O29" s="68">
        <f>N29*B29*C29</f>
        <v>1.2475247524752477</v>
      </c>
      <c r="P29">
        <v>1</v>
      </c>
      <c r="Q29" s="70">
        <f>N29</f>
        <v>7.0000000000000007E-2</v>
      </c>
      <c r="R29" s="102">
        <f>Q29*B29*C29</f>
        <v>1.2475247524752477</v>
      </c>
      <c r="S29">
        <v>1</v>
      </c>
      <c r="T29" s="68">
        <v>0.05</v>
      </c>
      <c r="W29">
        <v>1</v>
      </c>
      <c r="X29" s="68">
        <v>0.05</v>
      </c>
      <c r="Y29" s="102">
        <f>X29*B29*C29</f>
        <v>0.8910891089108911</v>
      </c>
      <c r="AA29">
        <v>1769</v>
      </c>
      <c r="AH29" s="68">
        <v>7.0000000000000007E-2</v>
      </c>
      <c r="AI29" s="68">
        <v>1.2475247524752476E-2</v>
      </c>
      <c r="AJ29" s="68">
        <v>0.05</v>
      </c>
      <c r="AK29" s="68">
        <v>8.9108910891089101E-3</v>
      </c>
    </row>
    <row r="30" spans="1:37">
      <c r="A30">
        <v>1772</v>
      </c>
      <c r="B30" s="35">
        <v>0.98039215686274506</v>
      </c>
      <c r="C30" s="68">
        <v>18</v>
      </c>
      <c r="S30">
        <v>1</v>
      </c>
      <c r="T30" s="68">
        <v>0.08</v>
      </c>
      <c r="W30">
        <v>1</v>
      </c>
      <c r="X30" s="68">
        <v>0.08</v>
      </c>
      <c r="Y30" s="102">
        <f>X30*B30*C30</f>
        <v>1.4117647058823528</v>
      </c>
      <c r="AA30">
        <v>1772</v>
      </c>
      <c r="AJ30" s="68">
        <v>0.08</v>
      </c>
      <c r="AK30" s="68">
        <v>1.4117647058823528E-2</v>
      </c>
    </row>
    <row r="31" spans="1:37">
      <c r="A31">
        <v>1773</v>
      </c>
      <c r="B31" s="35">
        <v>1</v>
      </c>
      <c r="C31" s="68">
        <v>18</v>
      </c>
      <c r="G31">
        <v>1</v>
      </c>
      <c r="H31" s="68">
        <v>0.26650000000000001</v>
      </c>
      <c r="I31" s="102">
        <f>H31*B31*C31</f>
        <v>4.7970000000000006</v>
      </c>
      <c r="P31">
        <v>1</v>
      </c>
      <c r="Q31" s="70">
        <f>H31</f>
        <v>0.26650000000000001</v>
      </c>
      <c r="R31" s="102">
        <f>Q31*B31*C31</f>
        <v>4.7970000000000006</v>
      </c>
      <c r="X31" s="68"/>
      <c r="AA31">
        <v>1773</v>
      </c>
      <c r="AD31" s="68">
        <v>0.26650000000000001</v>
      </c>
      <c r="AE31" s="68">
        <v>4.7969999999999999E-2</v>
      </c>
    </row>
    <row r="32" spans="1:37">
      <c r="A32">
        <v>1776</v>
      </c>
      <c r="B32" s="35">
        <v>0.99009900990099009</v>
      </c>
      <c r="C32" s="68">
        <v>18</v>
      </c>
      <c r="S32">
        <v>1</v>
      </c>
      <c r="T32" s="68">
        <v>0.2</v>
      </c>
      <c r="W32">
        <v>1</v>
      </c>
      <c r="X32" s="68">
        <v>0.2</v>
      </c>
      <c r="Y32" s="102">
        <f>X32*B32*C32</f>
        <v>3.5643564356435644</v>
      </c>
      <c r="AA32">
        <v>1776</v>
      </c>
      <c r="AJ32" s="68">
        <v>0.2</v>
      </c>
      <c r="AK32" s="68">
        <v>3.5643564356435641E-2</v>
      </c>
    </row>
    <row r="33" spans="1:37">
      <c r="A33">
        <v>1777</v>
      </c>
      <c r="B33" s="35">
        <v>0.99009900990099009</v>
      </c>
      <c r="C33" s="68">
        <v>18</v>
      </c>
      <c r="G33">
        <v>1</v>
      </c>
      <c r="H33" s="68">
        <v>0.45305000000000001</v>
      </c>
      <c r="I33" s="102">
        <f>H33*B33*C33</f>
        <v>8.074158415841584</v>
      </c>
      <c r="M33">
        <v>1</v>
      </c>
      <c r="N33" s="68">
        <v>0.03</v>
      </c>
      <c r="O33" s="68">
        <f>N33*B33*C33</f>
        <v>0.53465346534653468</v>
      </c>
      <c r="P33">
        <v>2</v>
      </c>
      <c r="Q33" s="70">
        <f>(H33+N33)/2</f>
        <v>0.24152499999999999</v>
      </c>
      <c r="R33" s="102">
        <f>Q33*B33*C33</f>
        <v>4.3044059405940596</v>
      </c>
      <c r="S33">
        <v>3</v>
      </c>
      <c r="T33" s="68">
        <v>0.17666666666666667</v>
      </c>
      <c r="W33">
        <v>3</v>
      </c>
      <c r="X33" s="68">
        <v>0.17666666666666667</v>
      </c>
      <c r="Y33" s="102">
        <f>X33*B33*C33</f>
        <v>3.1485148514851486</v>
      </c>
      <c r="AA33">
        <v>1777</v>
      </c>
      <c r="AD33" s="68">
        <v>0.45305000000000001</v>
      </c>
      <c r="AE33" s="68">
        <v>8.0741584158415841E-2</v>
      </c>
      <c r="AH33" s="68">
        <v>0.03</v>
      </c>
      <c r="AI33" s="68">
        <v>5.3465346534653461E-3</v>
      </c>
      <c r="AJ33" s="68">
        <v>0.17666666666666667</v>
      </c>
      <c r="AK33" s="68">
        <v>3.1485148514851485E-2</v>
      </c>
    </row>
    <row r="34" spans="1:37">
      <c r="A34">
        <v>1778</v>
      </c>
      <c r="B34" s="35">
        <v>0.99009900990099009</v>
      </c>
      <c r="C34" s="68">
        <v>18</v>
      </c>
      <c r="G34">
        <v>1</v>
      </c>
      <c r="H34" s="68">
        <v>0.45305000000000001</v>
      </c>
      <c r="I34" s="102">
        <f>H34*B34*C34</f>
        <v>8.074158415841584</v>
      </c>
      <c r="P34">
        <v>1</v>
      </c>
      <c r="Q34" s="70">
        <f>H34</f>
        <v>0.45305000000000001</v>
      </c>
      <c r="R34" s="102">
        <f>Q34*B34*C34</f>
        <v>8.074158415841584</v>
      </c>
      <c r="S34">
        <v>16</v>
      </c>
      <c r="T34" s="68">
        <v>0.15846874999999996</v>
      </c>
      <c r="W34">
        <v>16</v>
      </c>
      <c r="X34" s="68">
        <v>0.15846874999999996</v>
      </c>
      <c r="Y34" s="102">
        <f>X34*B34*C34</f>
        <v>2.8241955445544549</v>
      </c>
      <c r="AA34">
        <v>1778</v>
      </c>
      <c r="AD34" s="68">
        <v>0.45305000000000001</v>
      </c>
      <c r="AE34" s="68">
        <v>8.0741584158415841E-2</v>
      </c>
      <c r="AJ34" s="68">
        <v>0.15846874999999996</v>
      </c>
      <c r="AK34" s="68">
        <v>2.8241955445544545E-2</v>
      </c>
    </row>
    <row r="35" spans="1:37">
      <c r="A35">
        <v>1779</v>
      </c>
      <c r="B35" s="35">
        <v>0.99009900990099009</v>
      </c>
      <c r="C35" s="68">
        <v>18</v>
      </c>
      <c r="G35">
        <v>4</v>
      </c>
      <c r="H35" s="68">
        <v>0.36909999999999998</v>
      </c>
      <c r="I35" s="102">
        <f>H35*B35*C35</f>
        <v>6.5780198019801981</v>
      </c>
      <c r="M35">
        <v>6</v>
      </c>
      <c r="N35" s="68">
        <v>0.28833333333333333</v>
      </c>
      <c r="O35" s="68">
        <f>N35*B35*C35</f>
        <v>5.1386138613861387</v>
      </c>
      <c r="P35">
        <v>10</v>
      </c>
      <c r="Q35" s="70">
        <f>(H35+N35)/2</f>
        <v>0.32871666666666666</v>
      </c>
      <c r="R35" s="102">
        <f>Q35*B35*C35</f>
        <v>5.858316831683168</v>
      </c>
      <c r="S35">
        <v>21</v>
      </c>
      <c r="T35" s="68">
        <v>0.12999999999999998</v>
      </c>
      <c r="W35">
        <v>21</v>
      </c>
      <c r="X35" s="68">
        <v>0.12999999999999998</v>
      </c>
      <c r="Y35" s="102">
        <f>X35*B35*C35</f>
        <v>2.3168316831683162</v>
      </c>
      <c r="AA35">
        <v>1779</v>
      </c>
      <c r="AD35" s="68">
        <v>0.36909999999999998</v>
      </c>
      <c r="AE35" s="68">
        <v>6.5780198019801978E-2</v>
      </c>
      <c r="AH35" s="68">
        <v>0.28833333333333333</v>
      </c>
      <c r="AI35" s="68">
        <v>5.1386138613861383E-2</v>
      </c>
      <c r="AJ35" s="68">
        <v>0.12999999999999998</v>
      </c>
      <c r="AK35" s="68">
        <v>2.3168316831683165E-2</v>
      </c>
    </row>
    <row r="36" spans="1:37">
      <c r="A36">
        <v>1780</v>
      </c>
      <c r="B36" s="35">
        <v>0.99009900990099009</v>
      </c>
      <c r="C36" s="68">
        <v>18</v>
      </c>
      <c r="G36">
        <v>1</v>
      </c>
      <c r="H36" s="68">
        <v>0.44772000000000001</v>
      </c>
      <c r="I36" s="102">
        <f>H36*B36*C36</f>
        <v>7.9791683168316831</v>
      </c>
      <c r="M36">
        <v>3</v>
      </c>
      <c r="N36" s="68">
        <v>0.18333333333333335</v>
      </c>
      <c r="O36" s="68">
        <f>N36*B36*C36</f>
        <v>3.2673267326732676</v>
      </c>
      <c r="P36">
        <v>4</v>
      </c>
      <c r="Q36" s="70">
        <f>(H36+N36)/2</f>
        <v>0.31552666666666668</v>
      </c>
      <c r="R36" s="102">
        <f>Q36*B36*C36</f>
        <v>5.6232475247524754</v>
      </c>
      <c r="S36">
        <v>9</v>
      </c>
      <c r="T36" s="68">
        <v>0.14466666666666667</v>
      </c>
      <c r="W36">
        <v>9</v>
      </c>
      <c r="X36" s="68">
        <v>0.14466666666666667</v>
      </c>
      <c r="Y36" s="102">
        <f>X36*B36*C36</f>
        <v>2.5782178217821783</v>
      </c>
      <c r="AA36">
        <v>1780</v>
      </c>
      <c r="AD36" s="68">
        <v>0.44772000000000001</v>
      </c>
      <c r="AE36" s="68">
        <v>7.9791683168316835E-2</v>
      </c>
      <c r="AH36" s="68">
        <v>0.18333333333333335</v>
      </c>
      <c r="AI36" s="68">
        <v>3.2673267326732675E-2</v>
      </c>
      <c r="AJ36" s="68">
        <v>0.14466666666666667</v>
      </c>
      <c r="AK36" s="68">
        <v>2.5782178217821781E-2</v>
      </c>
    </row>
    <row r="37" spans="1:37">
      <c r="A37">
        <v>1781</v>
      </c>
      <c r="B37" s="35">
        <v>0.99009900990099009</v>
      </c>
      <c r="C37" s="68">
        <v>18</v>
      </c>
      <c r="G37">
        <v>1</v>
      </c>
      <c r="H37" s="68">
        <v>0.44772000000000001</v>
      </c>
      <c r="I37" s="102">
        <f>H37*B37*C37</f>
        <v>7.9791683168316831</v>
      </c>
      <c r="P37">
        <v>1</v>
      </c>
      <c r="Q37" s="70">
        <f>H37</f>
        <v>0.44772000000000001</v>
      </c>
      <c r="R37" s="102">
        <f>Q37*B37*C37</f>
        <v>7.9791683168316831</v>
      </c>
      <c r="X37" s="68"/>
      <c r="AA37">
        <v>1781</v>
      </c>
      <c r="AD37" s="68">
        <v>0.44772000000000001</v>
      </c>
      <c r="AE37" s="68">
        <v>7.9791683168316835E-2</v>
      </c>
    </row>
    <row r="38" spans="1:37">
      <c r="A38">
        <v>1784</v>
      </c>
      <c r="B38" s="35">
        <v>0.98039215686274506</v>
      </c>
      <c r="C38" s="68">
        <v>18</v>
      </c>
      <c r="S38">
        <v>6</v>
      </c>
      <c r="T38" s="68">
        <v>0.14083333333333334</v>
      </c>
      <c r="W38">
        <v>6</v>
      </c>
      <c r="X38" s="68">
        <v>0.14083333333333334</v>
      </c>
      <c r="Y38" s="102">
        <f t="shared" ref="Y38:Y44" si="1">X38*B38*C38</f>
        <v>2.4852941176470589</v>
      </c>
      <c r="AA38">
        <v>1784</v>
      </c>
      <c r="AJ38" s="68">
        <v>0.14083333333333334</v>
      </c>
      <c r="AK38" s="68">
        <v>2.4852941176470588E-2</v>
      </c>
    </row>
    <row r="39" spans="1:37">
      <c r="A39">
        <v>1785</v>
      </c>
      <c r="B39" s="35">
        <v>0.98039215686274506</v>
      </c>
      <c r="C39" s="68">
        <v>18</v>
      </c>
      <c r="S39">
        <v>7</v>
      </c>
      <c r="T39" s="68">
        <v>0.13571428571428573</v>
      </c>
      <c r="W39">
        <v>7</v>
      </c>
      <c r="X39" s="68">
        <v>0.13571428571428573</v>
      </c>
      <c r="Y39" s="102">
        <f t="shared" si="1"/>
        <v>2.3949579831932772</v>
      </c>
      <c r="AA39">
        <v>1785</v>
      </c>
      <c r="AJ39" s="68">
        <v>0.13571428571428573</v>
      </c>
      <c r="AK39" s="68">
        <v>2.3949579831932771E-2</v>
      </c>
    </row>
    <row r="40" spans="1:37">
      <c r="A40">
        <v>1786</v>
      </c>
      <c r="B40" s="35">
        <v>0.970873786407767</v>
      </c>
      <c r="C40" s="68">
        <v>18</v>
      </c>
      <c r="S40">
        <v>2</v>
      </c>
      <c r="T40" s="68">
        <v>0.1</v>
      </c>
      <c r="W40">
        <v>2</v>
      </c>
      <c r="X40" s="68">
        <v>0.1</v>
      </c>
      <c r="Y40" s="102">
        <f t="shared" si="1"/>
        <v>1.7475728155339807</v>
      </c>
      <c r="AA40">
        <v>1786</v>
      </c>
      <c r="AJ40" s="68">
        <v>0.1</v>
      </c>
      <c r="AK40" s="68">
        <v>1.7475728155339806E-2</v>
      </c>
    </row>
    <row r="41" spans="1:37">
      <c r="A41">
        <v>1787</v>
      </c>
      <c r="B41" s="35">
        <v>0.92592592592592582</v>
      </c>
      <c r="C41" s="68">
        <v>18</v>
      </c>
      <c r="S41">
        <v>3</v>
      </c>
      <c r="T41" s="68">
        <v>0.18333333333333335</v>
      </c>
      <c r="W41">
        <v>3</v>
      </c>
      <c r="X41" s="68">
        <v>0.18333333333333335</v>
      </c>
      <c r="Y41" s="102">
        <f t="shared" si="1"/>
        <v>3.0555555555555558</v>
      </c>
      <c r="AA41">
        <v>1787</v>
      </c>
      <c r="AJ41" s="68">
        <v>0.18333333333333335</v>
      </c>
      <c r="AK41" s="68">
        <v>3.0555555555555555E-2</v>
      </c>
    </row>
    <row r="42" spans="1:37">
      <c r="A42">
        <v>1788</v>
      </c>
      <c r="B42" s="35">
        <v>0.9174311926605504</v>
      </c>
      <c r="C42" s="68">
        <v>18</v>
      </c>
      <c r="S42">
        <v>3</v>
      </c>
      <c r="T42" s="68">
        <v>0.14083333333333334</v>
      </c>
      <c r="W42">
        <v>3</v>
      </c>
      <c r="X42" s="68">
        <v>0.14083333333333334</v>
      </c>
      <c r="Y42" s="102">
        <f t="shared" si="1"/>
        <v>2.3256880733944953</v>
      </c>
      <c r="AA42">
        <v>1788</v>
      </c>
      <c r="AJ42" s="68">
        <v>0.14083333333333334</v>
      </c>
      <c r="AK42" s="68">
        <v>2.3256880733944951E-2</v>
      </c>
    </row>
    <row r="43" spans="1:37">
      <c r="A43">
        <v>1789</v>
      </c>
      <c r="B43" s="35">
        <v>0.86956521739130443</v>
      </c>
      <c r="C43" s="68">
        <v>18</v>
      </c>
      <c r="G43">
        <v>1</v>
      </c>
      <c r="H43" s="68">
        <v>0.25</v>
      </c>
      <c r="I43" s="102">
        <f>H43*B43*C43</f>
        <v>3.9130434782608701</v>
      </c>
      <c r="P43">
        <v>1</v>
      </c>
      <c r="Q43" s="70">
        <f>H43</f>
        <v>0.25</v>
      </c>
      <c r="R43" s="102">
        <f>Q43*B43*C43</f>
        <v>3.9130434782608701</v>
      </c>
      <c r="S43">
        <v>2</v>
      </c>
      <c r="T43" s="68">
        <v>0.16499999999999998</v>
      </c>
      <c r="W43">
        <v>2</v>
      </c>
      <c r="X43" s="68">
        <v>0.16499999999999998</v>
      </c>
      <c r="Y43" s="102">
        <f t="shared" si="1"/>
        <v>2.5826086956521741</v>
      </c>
      <c r="AA43">
        <v>1789</v>
      </c>
      <c r="AD43" s="68">
        <v>0.25</v>
      </c>
      <c r="AE43" s="68">
        <v>3.9130434782608699E-2</v>
      </c>
      <c r="AJ43" s="68">
        <v>0.16499999999999998</v>
      </c>
      <c r="AK43" s="68">
        <v>2.5826086956521738E-2</v>
      </c>
    </row>
    <row r="44" spans="1:37">
      <c r="A44">
        <v>1790</v>
      </c>
      <c r="B44" s="35">
        <v>0.81300813008130079</v>
      </c>
      <c r="C44" s="68">
        <v>18</v>
      </c>
      <c r="M44">
        <v>6</v>
      </c>
      <c r="N44" s="68">
        <v>0.48333333333333339</v>
      </c>
      <c r="O44" s="68">
        <f>N44*B44*C44</f>
        <v>7.073170731707318</v>
      </c>
      <c r="P44">
        <v>6</v>
      </c>
      <c r="Q44" s="70">
        <f>N44</f>
        <v>0.48333333333333339</v>
      </c>
      <c r="R44" s="102">
        <f>Q44*B44*C44</f>
        <v>7.073170731707318</v>
      </c>
      <c r="S44">
        <v>8</v>
      </c>
      <c r="T44" s="68">
        <v>0.170375</v>
      </c>
      <c r="U44">
        <v>4</v>
      </c>
      <c r="V44">
        <v>0.4</v>
      </c>
      <c r="W44">
        <v>8</v>
      </c>
      <c r="X44" s="68">
        <v>0.170375</v>
      </c>
      <c r="Y44" s="102">
        <f t="shared" si="1"/>
        <v>2.4932926829268292</v>
      </c>
      <c r="AA44">
        <v>1790</v>
      </c>
      <c r="AH44" s="68">
        <v>0.48333333333333339</v>
      </c>
      <c r="AI44" s="68">
        <v>7.0731707317073178E-2</v>
      </c>
      <c r="AJ44" s="68">
        <v>0.170375</v>
      </c>
      <c r="AK44" s="68">
        <v>2.4932926829268291E-2</v>
      </c>
    </row>
    <row r="45" spans="1:37">
      <c r="A45">
        <v>1791</v>
      </c>
      <c r="B45" s="35">
        <v>0.79365079365079361</v>
      </c>
      <c r="C45" s="68">
        <v>18</v>
      </c>
      <c r="G45">
        <v>1</v>
      </c>
      <c r="H45" s="68">
        <v>0.40508000000000005</v>
      </c>
      <c r="I45" s="102">
        <f>H45*B45*C45</f>
        <v>5.7868571428571425</v>
      </c>
      <c r="P45">
        <v>1</v>
      </c>
      <c r="Q45" s="70">
        <f>H45</f>
        <v>0.40508000000000005</v>
      </c>
      <c r="R45" s="102">
        <f>Q45*B45*C45</f>
        <v>5.7868571428571425</v>
      </c>
      <c r="X45" s="68"/>
      <c r="AA45">
        <v>1791</v>
      </c>
      <c r="AD45" s="68">
        <v>0.40508000000000005</v>
      </c>
      <c r="AE45" s="68">
        <v>5.7868571428571429E-2</v>
      </c>
    </row>
    <row r="46" spans="1:37">
      <c r="A46">
        <v>1793</v>
      </c>
      <c r="B46" s="35">
        <v>0.70921985815602839</v>
      </c>
      <c r="C46" s="68">
        <v>18</v>
      </c>
      <c r="S46">
        <v>3</v>
      </c>
      <c r="T46" s="68">
        <v>0.11166666666666665</v>
      </c>
      <c r="W46">
        <v>3</v>
      </c>
      <c r="X46" s="68">
        <v>0.11166666666666665</v>
      </c>
      <c r="Y46" s="102">
        <f>X46*B46*C46</f>
        <v>1.4255319148936167</v>
      </c>
      <c r="AA46">
        <v>1793</v>
      </c>
      <c r="AJ46" s="68">
        <v>0.11166666666666665</v>
      </c>
      <c r="AK46" s="68">
        <v>1.4255319148936168E-2</v>
      </c>
    </row>
    <row r="47" spans="1:37">
      <c r="A47">
        <v>1794</v>
      </c>
      <c r="B47" s="35">
        <v>0.68493150684931503</v>
      </c>
      <c r="C47" s="68">
        <v>18</v>
      </c>
      <c r="G47">
        <v>3</v>
      </c>
      <c r="H47" s="68">
        <v>0.158</v>
      </c>
      <c r="I47" s="102">
        <f t="shared" ref="I47:I52" si="2">H47*B47*C47</f>
        <v>1.9479452054794519</v>
      </c>
      <c r="M47">
        <v>2</v>
      </c>
      <c r="N47" s="68">
        <v>0.15</v>
      </c>
      <c r="O47" s="68">
        <f>N47*B47*C47</f>
        <v>1.8493150684931505</v>
      </c>
      <c r="P47">
        <v>5</v>
      </c>
      <c r="Q47" s="70">
        <f>(H47+N47)/2</f>
        <v>0.154</v>
      </c>
      <c r="R47" s="102">
        <f t="shared" ref="R47:R52" si="3">Q47*B47*C47</f>
        <v>1.8986301369863012</v>
      </c>
      <c r="S47">
        <v>2</v>
      </c>
      <c r="T47" s="68">
        <v>0.25</v>
      </c>
      <c r="W47">
        <v>2</v>
      </c>
      <c r="X47" s="68">
        <v>0.25</v>
      </c>
      <c r="Y47" s="102">
        <f>X47*B47*C47</f>
        <v>3.0821917808219177</v>
      </c>
      <c r="AA47">
        <v>1794</v>
      </c>
      <c r="AD47" s="68">
        <v>0.158</v>
      </c>
      <c r="AE47" s="68">
        <v>1.9479452054794521E-2</v>
      </c>
      <c r="AH47" s="68">
        <v>0.15</v>
      </c>
      <c r="AI47" s="68">
        <v>1.8493150684931504E-2</v>
      </c>
      <c r="AJ47" s="68">
        <v>0.25</v>
      </c>
      <c r="AK47" s="68">
        <v>3.0821917808219176E-2</v>
      </c>
    </row>
    <row r="48" spans="1:37">
      <c r="A48">
        <v>1795</v>
      </c>
      <c r="B48" s="35">
        <v>0.70422535211267612</v>
      </c>
      <c r="C48" s="68">
        <v>18</v>
      </c>
      <c r="G48">
        <v>3</v>
      </c>
      <c r="H48" s="68">
        <v>0.185</v>
      </c>
      <c r="I48" s="102">
        <f t="shared" si="2"/>
        <v>2.3450704225352115</v>
      </c>
      <c r="P48">
        <v>3</v>
      </c>
      <c r="Q48" s="70">
        <v>0.1</v>
      </c>
      <c r="R48" s="102">
        <f t="shared" si="3"/>
        <v>1.267605633802817</v>
      </c>
      <c r="X48" s="68"/>
      <c r="AA48">
        <v>1795</v>
      </c>
      <c r="AD48" s="68">
        <v>0.185</v>
      </c>
      <c r="AE48" s="68">
        <v>2.3450704225352115E-2</v>
      </c>
    </row>
    <row r="49" spans="1:37">
      <c r="A49">
        <v>1796</v>
      </c>
      <c r="B49" s="35">
        <v>0.79365079365079361</v>
      </c>
      <c r="C49" s="68">
        <v>18</v>
      </c>
      <c r="G49">
        <v>1</v>
      </c>
      <c r="H49" s="68">
        <v>0.3</v>
      </c>
      <c r="I49" s="102">
        <f t="shared" si="2"/>
        <v>4.2857142857142856</v>
      </c>
      <c r="M49">
        <v>1</v>
      </c>
      <c r="N49" s="68">
        <v>0.8</v>
      </c>
      <c r="O49" s="68">
        <f>N49*B49*C49</f>
        <v>11.428571428571427</v>
      </c>
      <c r="P49">
        <v>2</v>
      </c>
      <c r="Q49" s="70">
        <f>(H49+N49)/2</f>
        <v>0.55000000000000004</v>
      </c>
      <c r="R49" s="102">
        <f t="shared" si="3"/>
        <v>7.8571428571428577</v>
      </c>
      <c r="S49">
        <v>1</v>
      </c>
      <c r="T49" s="68">
        <v>0.25</v>
      </c>
      <c r="W49">
        <v>1</v>
      </c>
      <c r="X49" s="68">
        <v>0.25</v>
      </c>
      <c r="Y49" s="102">
        <f>X49*B49*C49</f>
        <v>3.5714285714285712</v>
      </c>
      <c r="AA49">
        <v>1796</v>
      </c>
      <c r="AD49" s="68">
        <v>0.3</v>
      </c>
      <c r="AE49" s="68">
        <v>4.2857142857142851E-2</v>
      </c>
      <c r="AH49" s="68">
        <v>0.8</v>
      </c>
      <c r="AI49" s="68">
        <v>0.11428571428571427</v>
      </c>
      <c r="AJ49" s="68">
        <v>0.25</v>
      </c>
      <c r="AK49" s="68">
        <v>3.5714285714285712E-2</v>
      </c>
    </row>
    <row r="50" spans="1:37">
      <c r="A50">
        <v>1797</v>
      </c>
      <c r="B50" s="35">
        <v>0.72992700729927007</v>
      </c>
      <c r="C50" s="68">
        <v>18</v>
      </c>
      <c r="G50">
        <v>4</v>
      </c>
      <c r="H50" s="68">
        <v>0.23</v>
      </c>
      <c r="I50" s="102">
        <f t="shared" si="2"/>
        <v>3.0218978102189782</v>
      </c>
      <c r="P50">
        <v>4</v>
      </c>
      <c r="Q50" s="68">
        <v>0.23</v>
      </c>
      <c r="R50" s="102">
        <f t="shared" si="3"/>
        <v>3.0218978102189782</v>
      </c>
      <c r="X50" s="68"/>
      <c r="AA50">
        <v>1797</v>
      </c>
      <c r="AD50" s="68">
        <v>0.23</v>
      </c>
      <c r="AE50" s="68">
        <v>3.0218978102189781E-2</v>
      </c>
    </row>
    <row r="51" spans="1:37">
      <c r="A51">
        <v>1798</v>
      </c>
      <c r="B51" s="35">
        <v>0.66225165562913912</v>
      </c>
      <c r="C51" s="68">
        <v>18</v>
      </c>
      <c r="G51">
        <v>3</v>
      </c>
      <c r="H51" s="68">
        <v>0.15</v>
      </c>
      <c r="I51" s="102">
        <f t="shared" si="2"/>
        <v>1.7880794701986757</v>
      </c>
      <c r="P51">
        <v>3</v>
      </c>
      <c r="Q51" s="70">
        <f>H51</f>
        <v>0.15</v>
      </c>
      <c r="R51" s="102">
        <f t="shared" si="3"/>
        <v>1.7880794701986757</v>
      </c>
      <c r="S51">
        <v>1</v>
      </c>
      <c r="T51" s="68">
        <v>0.1</v>
      </c>
      <c r="W51">
        <v>1</v>
      </c>
      <c r="X51" s="68">
        <v>0.1</v>
      </c>
      <c r="Y51" s="102">
        <f>X51*B51*C51</f>
        <v>1.1920529801324504</v>
      </c>
      <c r="AA51">
        <v>1798</v>
      </c>
      <c r="AD51" s="68">
        <v>0.15</v>
      </c>
      <c r="AE51" s="68">
        <v>1.7880794701986755E-2</v>
      </c>
      <c r="AJ51" s="68">
        <v>0.1</v>
      </c>
      <c r="AK51" s="68">
        <v>1.1920529801324504E-2</v>
      </c>
    </row>
    <row r="52" spans="1:37">
      <c r="A52">
        <v>1800</v>
      </c>
      <c r="B52" s="35">
        <v>0.66225165562913912</v>
      </c>
      <c r="C52" s="68">
        <v>18</v>
      </c>
      <c r="G52">
        <v>1</v>
      </c>
      <c r="H52" s="68">
        <v>0.60761999999999994</v>
      </c>
      <c r="I52" s="102">
        <f t="shared" si="2"/>
        <v>7.2431523178807948</v>
      </c>
      <c r="P52">
        <v>1</v>
      </c>
      <c r="Q52" s="70">
        <f>H52</f>
        <v>0.60761999999999994</v>
      </c>
      <c r="R52" s="102">
        <f t="shared" si="3"/>
        <v>7.2431523178807948</v>
      </c>
      <c r="S52">
        <v>8</v>
      </c>
      <c r="T52" s="68">
        <v>0.22750000000000004</v>
      </c>
      <c r="W52">
        <v>8</v>
      </c>
      <c r="X52" s="68">
        <v>0.22750000000000004</v>
      </c>
      <c r="Y52" s="102">
        <f>X52*B52*C52</f>
        <v>2.7119205298013256</v>
      </c>
      <c r="AA52">
        <v>1800</v>
      </c>
      <c r="AD52" s="68">
        <v>0.60761999999999994</v>
      </c>
      <c r="AE52" s="68">
        <v>7.2431523178807938E-2</v>
      </c>
      <c r="AJ52" s="68">
        <v>0.22750000000000004</v>
      </c>
      <c r="AK52" s="68">
        <v>2.7119205298013253E-2</v>
      </c>
    </row>
    <row r="53" spans="1:37">
      <c r="A53">
        <v>1801</v>
      </c>
      <c r="B53" s="35">
        <v>0.7246376811594204</v>
      </c>
      <c r="C53" s="68">
        <v>18</v>
      </c>
      <c r="X53" s="68"/>
      <c r="AA53">
        <v>1801</v>
      </c>
    </row>
    <row r="54" spans="1:37">
      <c r="A54">
        <v>1802</v>
      </c>
      <c r="B54" s="35">
        <v>0.8</v>
      </c>
      <c r="C54" s="68">
        <v>18</v>
      </c>
      <c r="X54" s="68"/>
      <c r="AA54">
        <v>1802</v>
      </c>
    </row>
    <row r="55" spans="1:37">
      <c r="A55">
        <v>1803</v>
      </c>
      <c r="B55" s="35">
        <v>0.79365079365079361</v>
      </c>
      <c r="C55" s="68">
        <v>18</v>
      </c>
      <c r="X55" s="68"/>
      <c r="AA55">
        <v>1803</v>
      </c>
    </row>
    <row r="56" spans="1:37">
      <c r="A56">
        <v>1804</v>
      </c>
      <c r="B56" s="35">
        <v>0.76923076923076916</v>
      </c>
      <c r="C56" s="68">
        <v>18</v>
      </c>
      <c r="X56" s="68"/>
      <c r="AA56">
        <v>1804</v>
      </c>
    </row>
    <row r="57" spans="1:37">
      <c r="A57">
        <v>1805</v>
      </c>
      <c r="B57" s="35">
        <v>0.74626865671641784</v>
      </c>
      <c r="C57" s="68">
        <v>18</v>
      </c>
      <c r="X57" s="68"/>
      <c r="AA57">
        <v>1805</v>
      </c>
    </row>
    <row r="58" spans="1:37">
      <c r="A58">
        <v>1806</v>
      </c>
      <c r="B58" s="35">
        <v>0.67114093959731547</v>
      </c>
      <c r="C58" s="68">
        <v>18</v>
      </c>
      <c r="M58">
        <v>1</v>
      </c>
      <c r="N58" s="68">
        <v>0.55000000000000004</v>
      </c>
      <c r="O58" s="68">
        <f>N58*B58*C58</f>
        <v>6.6442953020134237</v>
      </c>
      <c r="P58">
        <v>1</v>
      </c>
      <c r="Q58" s="70">
        <v>0.55000000000000004</v>
      </c>
      <c r="R58" s="102">
        <f>Q58*B58*C58</f>
        <v>6.6442953020134237</v>
      </c>
      <c r="T58" s="68">
        <v>0.4</v>
      </c>
      <c r="X58" s="68">
        <v>0.4</v>
      </c>
      <c r="Y58" s="102">
        <f>X58*B58*C58</f>
        <v>4.8322147651006713</v>
      </c>
      <c r="AA58">
        <v>1806</v>
      </c>
      <c r="AH58" s="68">
        <v>0.55000000000000004</v>
      </c>
      <c r="AI58" s="68">
        <v>6.6442953020134227E-2</v>
      </c>
      <c r="AJ58" s="68">
        <v>0.4</v>
      </c>
      <c r="AK58" s="68">
        <v>4.832214765100671E-2</v>
      </c>
    </row>
    <row r="59" spans="1:37">
      <c r="A59">
        <v>1807</v>
      </c>
      <c r="B59" s="35">
        <v>0.53475935828876997</v>
      </c>
      <c r="C59" s="68">
        <v>18</v>
      </c>
      <c r="X59" s="68"/>
      <c r="AA59">
        <v>1807</v>
      </c>
    </row>
    <row r="60" spans="1:37">
      <c r="A60">
        <v>1808</v>
      </c>
      <c r="B60" s="35">
        <v>0.44843049327354262</v>
      </c>
      <c r="C60" s="68">
        <v>18</v>
      </c>
      <c r="X60" s="68"/>
      <c r="AA60">
        <v>1808</v>
      </c>
    </row>
    <row r="61" spans="1:37">
      <c r="A61">
        <v>1809</v>
      </c>
      <c r="B61" s="35">
        <v>0.33</v>
      </c>
      <c r="C61" s="68">
        <v>18</v>
      </c>
      <c r="G61">
        <v>1</v>
      </c>
      <c r="H61" s="68">
        <v>1.35</v>
      </c>
      <c r="I61" s="102">
        <f>H61*B61*C61</f>
        <v>8.0190000000000019</v>
      </c>
      <c r="P61">
        <v>1</v>
      </c>
      <c r="Q61" s="70">
        <v>1.35</v>
      </c>
      <c r="R61" s="102">
        <f>Q61*B61*C61</f>
        <v>8.0190000000000019</v>
      </c>
      <c r="X61" s="68"/>
      <c r="AA61">
        <v>1809</v>
      </c>
      <c r="AD61" s="68">
        <v>1.35</v>
      </c>
      <c r="AE61" s="68">
        <v>8.0190000000000011E-2</v>
      </c>
    </row>
    <row r="62" spans="1:37">
      <c r="A62">
        <v>1810</v>
      </c>
      <c r="B62" s="35">
        <v>0.26400000000000001</v>
      </c>
      <c r="C62" s="68">
        <v>18</v>
      </c>
      <c r="J62">
        <v>1</v>
      </c>
      <c r="K62">
        <v>1.35</v>
      </c>
      <c r="M62">
        <v>1</v>
      </c>
      <c r="N62" s="68">
        <v>1.4</v>
      </c>
      <c r="O62" s="68">
        <f>N62*B62*C62</f>
        <v>6.6528</v>
      </c>
      <c r="P62">
        <v>2</v>
      </c>
      <c r="Q62" s="70">
        <v>1.375</v>
      </c>
      <c r="R62" s="102">
        <f>Q62*B62*C62</f>
        <v>6.5339999999999998</v>
      </c>
      <c r="X62" s="68"/>
      <c r="AA62">
        <v>1810</v>
      </c>
      <c r="AF62" s="68">
        <v>1.35</v>
      </c>
      <c r="AH62" s="68">
        <v>1.4</v>
      </c>
      <c r="AI62" s="68">
        <v>6.652799999999999E-2</v>
      </c>
    </row>
    <row r="63" spans="1:37">
      <c r="A63">
        <v>1811</v>
      </c>
      <c r="B63" s="35">
        <v>0.252</v>
      </c>
      <c r="C63" s="68">
        <v>18</v>
      </c>
      <c r="X63" s="68"/>
      <c r="AA63">
        <v>1811</v>
      </c>
    </row>
    <row r="64" spans="1:37">
      <c r="A64">
        <v>1812</v>
      </c>
      <c r="B64" s="35">
        <v>0.252</v>
      </c>
      <c r="C64" s="68">
        <v>18</v>
      </c>
      <c r="X64" s="68"/>
      <c r="AA64">
        <v>1812</v>
      </c>
    </row>
    <row r="65" spans="1:37">
      <c r="A65">
        <v>1813</v>
      </c>
      <c r="B65" s="35">
        <v>0.2</v>
      </c>
      <c r="C65" s="68">
        <v>18</v>
      </c>
      <c r="X65" s="68"/>
      <c r="AA65">
        <v>1813</v>
      </c>
    </row>
    <row r="66" spans="1:37">
      <c r="A66">
        <v>1814</v>
      </c>
      <c r="B66" s="35">
        <v>0.2</v>
      </c>
      <c r="C66" s="68">
        <v>18</v>
      </c>
      <c r="X66" s="68"/>
      <c r="AA66">
        <v>1814</v>
      </c>
    </row>
    <row r="67" spans="1:37">
      <c r="A67">
        <v>1815</v>
      </c>
      <c r="B67" s="128">
        <v>0.2</v>
      </c>
      <c r="C67" s="68">
        <v>18</v>
      </c>
      <c r="M67">
        <v>1</v>
      </c>
      <c r="N67" s="68">
        <v>2.5</v>
      </c>
      <c r="O67" s="68">
        <f>N67*B67*C67</f>
        <v>9</v>
      </c>
      <c r="P67">
        <v>1</v>
      </c>
      <c r="Q67" s="70">
        <v>2.5</v>
      </c>
      <c r="R67" s="102">
        <f>Q67*B67*C67</f>
        <v>9</v>
      </c>
      <c r="T67" s="68">
        <v>1.86</v>
      </c>
      <c r="X67" s="68">
        <v>1.86</v>
      </c>
      <c r="Y67" s="102">
        <f>X67*B67*C67</f>
        <v>6.6960000000000006</v>
      </c>
      <c r="AA67">
        <v>1815</v>
      </c>
      <c r="AH67" s="68">
        <v>2.5</v>
      </c>
      <c r="AI67" s="68">
        <v>0.09</v>
      </c>
      <c r="AJ67" s="68">
        <v>1.86</v>
      </c>
      <c r="AK67" s="68">
        <v>6.6960000000000006E-2</v>
      </c>
    </row>
    <row r="68" spans="1:37">
      <c r="A68">
        <v>1819</v>
      </c>
      <c r="C68" s="68">
        <v>18</v>
      </c>
      <c r="X68" s="68"/>
      <c r="AA68">
        <v>1816</v>
      </c>
    </row>
    <row r="69" spans="1:37">
      <c r="A69">
        <v>1820</v>
      </c>
      <c r="C69" s="68">
        <v>18</v>
      </c>
      <c r="X69" s="68"/>
      <c r="AA69">
        <v>1817</v>
      </c>
    </row>
    <row r="70" spans="1:37">
      <c r="A70">
        <v>1821</v>
      </c>
      <c r="C70" s="68">
        <v>18</v>
      </c>
      <c r="AA70">
        <v>1818</v>
      </c>
    </row>
    <row r="71" spans="1:37">
      <c r="A71">
        <v>1822</v>
      </c>
      <c r="C71" s="68">
        <v>18</v>
      </c>
      <c r="AA71">
        <v>1825</v>
      </c>
    </row>
    <row r="72" spans="1:37">
      <c r="A72">
        <v>1826</v>
      </c>
      <c r="B72" s="128">
        <v>0.27</v>
      </c>
      <c r="C72" s="68">
        <v>18</v>
      </c>
      <c r="N72" s="68">
        <v>1.75</v>
      </c>
      <c r="O72" s="68">
        <f>N72*B72*C72</f>
        <v>8.5050000000000008</v>
      </c>
      <c r="Q72" s="68">
        <v>1.75</v>
      </c>
      <c r="R72" s="102">
        <f t="shared" ref="R72:R73" si="4">Q72*B72*C72</f>
        <v>8.5050000000000008</v>
      </c>
      <c r="T72" s="68">
        <v>0.75</v>
      </c>
      <c r="X72" s="68">
        <v>0.75</v>
      </c>
      <c r="Y72" s="102">
        <f t="shared" ref="Y72:Y102" si="5">X72*B72*C72</f>
        <v>3.6450000000000005</v>
      </c>
      <c r="AA72">
        <v>1826</v>
      </c>
      <c r="AH72" s="68">
        <v>1.75</v>
      </c>
      <c r="AI72" s="68">
        <v>8.5050000000000001E-2</v>
      </c>
      <c r="AJ72" s="68">
        <v>0.75</v>
      </c>
      <c r="AK72" s="68">
        <v>3.6450000000000003E-2</v>
      </c>
    </row>
    <row r="73" spans="1:37">
      <c r="A73">
        <v>1827</v>
      </c>
      <c r="B73" s="128">
        <v>0.27</v>
      </c>
      <c r="C73" s="68">
        <v>18</v>
      </c>
      <c r="N73" s="68">
        <v>0.7</v>
      </c>
      <c r="O73" s="68">
        <f>N73*B73*C73</f>
        <v>3.4020000000000001</v>
      </c>
      <c r="Q73" s="68">
        <v>0.7</v>
      </c>
      <c r="R73" s="102">
        <f t="shared" si="4"/>
        <v>3.4020000000000001</v>
      </c>
      <c r="T73" s="68">
        <v>0.6</v>
      </c>
      <c r="X73" s="68">
        <v>0.6</v>
      </c>
      <c r="Y73" s="102">
        <f t="shared" si="5"/>
        <v>2.9159999999999999</v>
      </c>
      <c r="AA73">
        <v>1827</v>
      </c>
      <c r="AH73" s="68">
        <v>0.7</v>
      </c>
      <c r="AI73" s="68">
        <v>3.4020000000000002E-2</v>
      </c>
      <c r="AJ73" s="68">
        <v>0.6</v>
      </c>
      <c r="AK73" s="68">
        <v>2.9159999999999998E-2</v>
      </c>
    </row>
    <row r="74" spans="1:37">
      <c r="A74">
        <v>1828</v>
      </c>
      <c r="B74" s="128">
        <v>0.27</v>
      </c>
      <c r="C74" s="68">
        <v>18</v>
      </c>
      <c r="Q74" s="68"/>
      <c r="X74" s="68"/>
      <c r="Y74" s="102">
        <f t="shared" si="5"/>
        <v>0</v>
      </c>
      <c r="AA74">
        <v>1828</v>
      </c>
    </row>
    <row r="75" spans="1:37">
      <c r="A75">
        <v>1829</v>
      </c>
      <c r="B75" s="128">
        <v>0.27</v>
      </c>
      <c r="C75" s="68">
        <v>18</v>
      </c>
      <c r="Q75" s="68"/>
      <c r="X75" s="68"/>
      <c r="Y75" s="102">
        <f t="shared" si="5"/>
        <v>0</v>
      </c>
      <c r="AA75">
        <v>1829</v>
      </c>
    </row>
    <row r="76" spans="1:37">
      <c r="A76">
        <v>1830</v>
      </c>
      <c r="B76" s="128">
        <v>0.27</v>
      </c>
      <c r="C76" s="68">
        <v>18</v>
      </c>
      <c r="Q76" s="68"/>
      <c r="X76" s="68"/>
      <c r="Y76" s="102">
        <f t="shared" si="5"/>
        <v>0</v>
      </c>
      <c r="AA76">
        <v>1830</v>
      </c>
    </row>
    <row r="77" spans="1:37">
      <c r="A77">
        <v>1831</v>
      </c>
      <c r="B77" s="128">
        <v>0.28000000000000003</v>
      </c>
      <c r="C77" s="68">
        <v>18</v>
      </c>
      <c r="Q77" s="68"/>
      <c r="X77" s="68"/>
      <c r="Y77" s="102">
        <f t="shared" si="5"/>
        <v>0</v>
      </c>
      <c r="AA77">
        <v>1831</v>
      </c>
    </row>
    <row r="78" spans="1:37">
      <c r="A78">
        <v>1832</v>
      </c>
      <c r="B78" s="128">
        <v>0.28000000000000003</v>
      </c>
      <c r="C78" s="68">
        <v>18</v>
      </c>
      <c r="N78" s="68">
        <v>1.8</v>
      </c>
      <c r="O78" s="68">
        <f>N78*B78*C78</f>
        <v>9.0720000000000027</v>
      </c>
      <c r="Q78" s="68">
        <v>1.8</v>
      </c>
      <c r="R78" s="102">
        <f>Q78*B78*C78</f>
        <v>9.0720000000000027</v>
      </c>
      <c r="T78" s="68">
        <v>1</v>
      </c>
      <c r="X78" s="68">
        <v>1</v>
      </c>
      <c r="Y78" s="102">
        <f t="shared" si="5"/>
        <v>5.0400000000000009</v>
      </c>
      <c r="AA78">
        <v>1832</v>
      </c>
      <c r="AH78" s="68">
        <v>1.8</v>
      </c>
      <c r="AI78" s="68">
        <v>9.0720000000000023E-2</v>
      </c>
      <c r="AJ78" s="68">
        <v>1</v>
      </c>
      <c r="AK78" s="68">
        <v>5.04E-2</v>
      </c>
    </row>
    <row r="79" spans="1:37">
      <c r="A79">
        <v>1833</v>
      </c>
      <c r="B79" s="128">
        <v>0.28000000000000003</v>
      </c>
      <c r="C79" s="68">
        <v>18</v>
      </c>
      <c r="Q79" s="68"/>
      <c r="X79" s="68"/>
      <c r="Y79" s="102">
        <f t="shared" si="5"/>
        <v>0</v>
      </c>
      <c r="AA79">
        <v>1833</v>
      </c>
    </row>
    <row r="80" spans="1:37">
      <c r="A80">
        <v>1834</v>
      </c>
      <c r="B80" s="128">
        <v>0.28000000000000003</v>
      </c>
      <c r="C80" s="68">
        <v>18</v>
      </c>
      <c r="N80" s="68">
        <v>1.9</v>
      </c>
      <c r="O80" s="68">
        <f>N80*B80*C80</f>
        <v>9.5760000000000005</v>
      </c>
      <c r="Q80" s="68">
        <v>1.9</v>
      </c>
      <c r="R80" s="102">
        <f>Q80*B80*C80</f>
        <v>9.5760000000000005</v>
      </c>
      <c r="T80" s="68">
        <v>0.97</v>
      </c>
      <c r="X80" s="68">
        <v>0.97</v>
      </c>
      <c r="Y80" s="102">
        <f t="shared" si="5"/>
        <v>4.8887999999999998</v>
      </c>
      <c r="AA80">
        <v>1834</v>
      </c>
      <c r="AH80" s="68">
        <v>1.9</v>
      </c>
      <c r="AI80" s="68">
        <v>9.5759999999999998E-2</v>
      </c>
      <c r="AJ80" s="68">
        <v>0.97</v>
      </c>
      <c r="AK80" s="68">
        <v>4.8888000000000001E-2</v>
      </c>
    </row>
    <row r="81" spans="1:37">
      <c r="A81">
        <v>1835</v>
      </c>
      <c r="B81" s="128">
        <v>0.28000000000000003</v>
      </c>
      <c r="C81" s="68">
        <v>18</v>
      </c>
      <c r="Q81" s="68"/>
      <c r="X81" s="68"/>
      <c r="Y81" s="102">
        <f t="shared" si="5"/>
        <v>0</v>
      </c>
      <c r="AA81">
        <v>1835</v>
      </c>
    </row>
    <row r="82" spans="1:37">
      <c r="A82">
        <v>1836</v>
      </c>
      <c r="B82" s="128">
        <v>0.28000000000000003</v>
      </c>
      <c r="C82" s="68">
        <v>18</v>
      </c>
      <c r="Q82" s="68"/>
      <c r="X82" s="68"/>
      <c r="Y82" s="102">
        <f t="shared" si="5"/>
        <v>0</v>
      </c>
      <c r="AA82">
        <v>1836</v>
      </c>
    </row>
    <row r="83" spans="1:37">
      <c r="A83">
        <v>1837</v>
      </c>
      <c r="B83" s="128">
        <v>0.28000000000000003</v>
      </c>
      <c r="C83" s="68">
        <v>18</v>
      </c>
      <c r="N83" s="68">
        <v>1.9</v>
      </c>
      <c r="O83" s="68">
        <f>N83*B83*C83</f>
        <v>9.5760000000000005</v>
      </c>
      <c r="Q83" s="68">
        <v>1.9</v>
      </c>
      <c r="R83" s="102">
        <f>Q83*B83*C83</f>
        <v>9.5760000000000005</v>
      </c>
      <c r="T83" s="68">
        <v>0.9</v>
      </c>
      <c r="X83" s="68">
        <v>0.9</v>
      </c>
      <c r="Y83" s="102">
        <f t="shared" si="5"/>
        <v>4.5360000000000014</v>
      </c>
      <c r="AA83">
        <v>1837</v>
      </c>
      <c r="AH83" s="68">
        <v>1.9</v>
      </c>
      <c r="AI83" s="68">
        <v>9.5759999999999998E-2</v>
      </c>
      <c r="AJ83" s="68">
        <v>0.9</v>
      </c>
      <c r="AK83" s="68">
        <v>4.5360000000000011E-2</v>
      </c>
    </row>
    <row r="84" spans="1:37">
      <c r="A84">
        <v>1838</v>
      </c>
      <c r="B84" s="128">
        <v>0.28000000000000003</v>
      </c>
      <c r="C84" s="68">
        <v>18</v>
      </c>
      <c r="Q84" s="68"/>
      <c r="X84" s="68"/>
      <c r="Y84" s="102">
        <f t="shared" si="5"/>
        <v>0</v>
      </c>
      <c r="AA84">
        <v>1838</v>
      </c>
    </row>
    <row r="85" spans="1:37">
      <c r="A85">
        <v>1839</v>
      </c>
      <c r="B85" s="128">
        <v>0.28000000000000003</v>
      </c>
      <c r="C85" s="68">
        <v>18</v>
      </c>
      <c r="N85" s="68">
        <v>1.8</v>
      </c>
      <c r="O85" s="68">
        <f t="shared" ref="O85:O102" si="6">N85*B85*C85</f>
        <v>9.0720000000000027</v>
      </c>
      <c r="Q85" s="68">
        <v>1.8</v>
      </c>
      <c r="R85" s="102">
        <f t="shared" ref="R85:R90" si="7">Q85*B85*C85</f>
        <v>9.0720000000000027</v>
      </c>
      <c r="T85" s="68">
        <v>1</v>
      </c>
      <c r="X85" s="68">
        <v>1</v>
      </c>
      <c r="Y85" s="102">
        <f t="shared" si="5"/>
        <v>5.0400000000000009</v>
      </c>
      <c r="AA85">
        <v>1839</v>
      </c>
      <c r="AH85" s="68">
        <v>1.8</v>
      </c>
      <c r="AI85" s="68">
        <v>9.0720000000000023E-2</v>
      </c>
      <c r="AJ85" s="68">
        <v>1</v>
      </c>
      <c r="AK85" s="68">
        <v>5.04E-2</v>
      </c>
    </row>
    <row r="86" spans="1:37">
      <c r="A86">
        <v>1840</v>
      </c>
      <c r="B86" s="35">
        <v>0.98</v>
      </c>
      <c r="C86" s="68">
        <v>18</v>
      </c>
      <c r="N86" s="68">
        <v>0.5</v>
      </c>
      <c r="O86" s="68">
        <f t="shared" si="6"/>
        <v>8.82</v>
      </c>
      <c r="Q86" s="68">
        <v>0.5</v>
      </c>
      <c r="R86" s="102">
        <f t="shared" si="7"/>
        <v>8.82</v>
      </c>
      <c r="T86" s="68">
        <v>0.3</v>
      </c>
      <c r="X86" s="68">
        <v>0.3</v>
      </c>
      <c r="Y86" s="102">
        <f t="shared" si="5"/>
        <v>5.2919999999999998</v>
      </c>
      <c r="AA86">
        <v>1840</v>
      </c>
      <c r="AH86" s="68">
        <v>0.5</v>
      </c>
      <c r="AI86" s="68">
        <v>8.8200000000000001E-2</v>
      </c>
      <c r="AJ86" s="68">
        <v>0.3</v>
      </c>
      <c r="AK86" s="68">
        <v>5.2919999999999995E-2</v>
      </c>
    </row>
    <row r="87" spans="1:37">
      <c r="A87">
        <v>1841</v>
      </c>
      <c r="B87" s="35">
        <v>0.98</v>
      </c>
      <c r="C87" s="68">
        <v>18</v>
      </c>
      <c r="N87" s="68">
        <v>0.6</v>
      </c>
      <c r="O87" s="68">
        <f t="shared" si="6"/>
        <v>10.584</v>
      </c>
      <c r="Q87" s="68">
        <v>0.6</v>
      </c>
      <c r="R87" s="102">
        <f t="shared" si="7"/>
        <v>10.584</v>
      </c>
      <c r="T87" s="68">
        <v>0.3</v>
      </c>
      <c r="X87" s="68">
        <v>0.3</v>
      </c>
      <c r="Y87" s="102">
        <f t="shared" si="5"/>
        <v>5.2919999999999998</v>
      </c>
      <c r="AA87">
        <v>1841</v>
      </c>
      <c r="AH87" s="68">
        <v>0.6</v>
      </c>
      <c r="AI87" s="68">
        <v>0.10583999999999999</v>
      </c>
      <c r="AJ87" s="68">
        <v>0.3</v>
      </c>
      <c r="AK87" s="68">
        <v>5.2919999999999995E-2</v>
      </c>
    </row>
    <row r="88" spans="1:37">
      <c r="A88">
        <v>1842</v>
      </c>
      <c r="B88" s="35">
        <v>0.98</v>
      </c>
      <c r="C88" s="68">
        <v>18</v>
      </c>
      <c r="N88" s="68">
        <v>0.5</v>
      </c>
      <c r="O88" s="68">
        <f t="shared" si="6"/>
        <v>8.82</v>
      </c>
      <c r="Q88" s="68">
        <v>0.5</v>
      </c>
      <c r="R88" s="102">
        <f t="shared" si="7"/>
        <v>8.82</v>
      </c>
      <c r="T88" s="68">
        <v>0.3</v>
      </c>
      <c r="X88" s="68">
        <v>0.3</v>
      </c>
      <c r="Y88" s="102">
        <f t="shared" si="5"/>
        <v>5.2919999999999998</v>
      </c>
      <c r="AA88">
        <v>1842</v>
      </c>
      <c r="AH88" s="68">
        <v>0.5</v>
      </c>
      <c r="AI88" s="68">
        <v>8.8200000000000001E-2</v>
      </c>
      <c r="AJ88" s="68">
        <v>0.3</v>
      </c>
      <c r="AK88" s="68">
        <v>5.2919999999999995E-2</v>
      </c>
    </row>
    <row r="89" spans="1:37">
      <c r="A89">
        <v>1843</v>
      </c>
      <c r="B89" s="35">
        <v>0.98</v>
      </c>
      <c r="C89" s="68">
        <v>18</v>
      </c>
      <c r="N89" s="68">
        <v>0.4</v>
      </c>
      <c r="O89" s="68">
        <f t="shared" si="6"/>
        <v>7.056</v>
      </c>
      <c r="Q89" s="68">
        <v>0.4</v>
      </c>
      <c r="R89" s="102">
        <f t="shared" si="7"/>
        <v>7.056</v>
      </c>
      <c r="T89" s="68">
        <v>0.25</v>
      </c>
      <c r="X89" s="68">
        <v>0.25</v>
      </c>
      <c r="Y89" s="102">
        <f t="shared" si="5"/>
        <v>4.41</v>
      </c>
      <c r="AA89">
        <v>1843</v>
      </c>
      <c r="AH89" s="68">
        <v>0.4</v>
      </c>
      <c r="AI89" s="68">
        <v>7.0559999999999998E-2</v>
      </c>
      <c r="AJ89" s="68">
        <v>0.25</v>
      </c>
      <c r="AK89" s="68">
        <v>4.41E-2</v>
      </c>
    </row>
    <row r="90" spans="1:37">
      <c r="A90">
        <v>1844</v>
      </c>
      <c r="B90" s="35">
        <v>0.98</v>
      </c>
      <c r="C90" s="68">
        <v>18</v>
      </c>
      <c r="N90" s="68">
        <v>0.5</v>
      </c>
      <c r="O90" s="68">
        <f t="shared" si="6"/>
        <v>8.82</v>
      </c>
      <c r="Q90" s="68">
        <v>0.5</v>
      </c>
      <c r="R90" s="102">
        <f t="shared" si="7"/>
        <v>8.82</v>
      </c>
      <c r="T90" s="68">
        <v>0.33</v>
      </c>
      <c r="X90" s="68">
        <v>0.33</v>
      </c>
      <c r="Y90" s="102">
        <f t="shared" si="5"/>
        <v>5.8212000000000002</v>
      </c>
      <c r="AA90">
        <v>1844</v>
      </c>
      <c r="AH90" s="68">
        <v>0.5</v>
      </c>
      <c r="AI90" s="68">
        <v>8.8200000000000001E-2</v>
      </c>
      <c r="AJ90" s="68">
        <v>0.33</v>
      </c>
      <c r="AK90" s="68">
        <v>5.8212E-2</v>
      </c>
    </row>
    <row r="91" spans="1:37">
      <c r="A91">
        <v>1845</v>
      </c>
      <c r="B91" s="35">
        <v>0.98</v>
      </c>
      <c r="C91" s="68">
        <v>18</v>
      </c>
      <c r="N91" s="68">
        <v>0.65</v>
      </c>
      <c r="O91" s="68">
        <f t="shared" si="6"/>
        <v>11.466000000000001</v>
      </c>
      <c r="Q91" s="68">
        <v>0.65</v>
      </c>
      <c r="R91" s="102">
        <f t="shared" ref="R91:R102" si="8">Q91*B91*C91</f>
        <v>11.466000000000001</v>
      </c>
      <c r="T91" s="68">
        <v>0.3</v>
      </c>
      <c r="X91" s="68">
        <v>0.3</v>
      </c>
      <c r="Y91" s="102">
        <f t="shared" si="5"/>
        <v>5.2919999999999998</v>
      </c>
      <c r="AA91">
        <v>1845</v>
      </c>
      <c r="AH91" s="68">
        <v>0.65</v>
      </c>
      <c r="AI91" s="68">
        <v>0.11466</v>
      </c>
      <c r="AJ91" s="68">
        <v>0.3</v>
      </c>
      <c r="AK91" s="68">
        <v>5.2919999999999995E-2</v>
      </c>
    </row>
    <row r="92" spans="1:37">
      <c r="A92">
        <v>1846</v>
      </c>
      <c r="B92" s="35">
        <v>0.98</v>
      </c>
      <c r="C92" s="68">
        <v>18</v>
      </c>
      <c r="N92" s="68">
        <v>0.45</v>
      </c>
      <c r="O92" s="68">
        <f t="shared" si="6"/>
        <v>7.9379999999999997</v>
      </c>
      <c r="Q92" s="68">
        <v>0.45</v>
      </c>
      <c r="R92" s="102">
        <f t="shared" si="8"/>
        <v>7.9379999999999997</v>
      </c>
      <c r="T92" s="68">
        <v>0.25</v>
      </c>
      <c r="X92" s="68">
        <v>0.25</v>
      </c>
      <c r="Y92" s="102">
        <f t="shared" si="5"/>
        <v>4.41</v>
      </c>
      <c r="AA92">
        <v>1846</v>
      </c>
      <c r="AH92" s="68">
        <v>0.45</v>
      </c>
      <c r="AI92" s="68">
        <v>7.9379999999999992E-2</v>
      </c>
      <c r="AJ92" s="68">
        <v>0.25</v>
      </c>
      <c r="AK92" s="68">
        <v>4.41E-2</v>
      </c>
    </row>
    <row r="93" spans="1:37">
      <c r="A93">
        <v>1847</v>
      </c>
      <c r="B93" s="35">
        <v>0.98</v>
      </c>
      <c r="C93" s="68">
        <v>18</v>
      </c>
      <c r="N93" s="68">
        <v>0.65</v>
      </c>
      <c r="O93" s="68">
        <f t="shared" si="6"/>
        <v>11.466000000000001</v>
      </c>
      <c r="Q93" s="68">
        <v>0.65</v>
      </c>
      <c r="R93" s="102">
        <f t="shared" si="8"/>
        <v>11.466000000000001</v>
      </c>
      <c r="T93" s="68">
        <v>0.35</v>
      </c>
      <c r="X93" s="68">
        <v>0.35</v>
      </c>
      <c r="Y93" s="102">
        <f t="shared" si="5"/>
        <v>6.1739999999999995</v>
      </c>
      <c r="AA93">
        <v>1847</v>
      </c>
      <c r="AH93" s="68">
        <v>0.65</v>
      </c>
      <c r="AI93" s="68">
        <v>0.11466</v>
      </c>
      <c r="AJ93" s="68">
        <v>0.35</v>
      </c>
      <c r="AK93" s="68">
        <v>6.1739999999999989E-2</v>
      </c>
    </row>
    <row r="94" spans="1:37">
      <c r="A94">
        <v>1848</v>
      </c>
      <c r="B94" s="35">
        <v>0.98</v>
      </c>
      <c r="C94" s="68">
        <v>18</v>
      </c>
      <c r="N94" s="68">
        <v>0.5</v>
      </c>
      <c r="O94" s="68">
        <f t="shared" si="6"/>
        <v>8.82</v>
      </c>
      <c r="Q94" s="68">
        <v>0.5</v>
      </c>
      <c r="R94" s="102">
        <f t="shared" si="8"/>
        <v>8.82</v>
      </c>
      <c r="T94" s="68">
        <v>0.25</v>
      </c>
      <c r="X94" s="68">
        <v>0.25</v>
      </c>
      <c r="Y94" s="102">
        <f t="shared" si="5"/>
        <v>4.41</v>
      </c>
      <c r="AA94">
        <v>1848</v>
      </c>
      <c r="AH94" s="68">
        <v>0.5</v>
      </c>
      <c r="AI94" s="68">
        <v>8.8200000000000001E-2</v>
      </c>
      <c r="AJ94" s="68">
        <v>0.25</v>
      </c>
      <c r="AK94" s="68">
        <v>4.41E-2</v>
      </c>
    </row>
    <row r="95" spans="1:37">
      <c r="A95">
        <v>1849</v>
      </c>
      <c r="B95" s="35">
        <v>0.98</v>
      </c>
      <c r="C95" s="68">
        <v>18</v>
      </c>
      <c r="N95" s="68">
        <v>0.45</v>
      </c>
      <c r="O95" s="68">
        <f t="shared" si="6"/>
        <v>7.9379999999999997</v>
      </c>
      <c r="Q95" s="68">
        <v>0.45</v>
      </c>
      <c r="R95" s="102">
        <f t="shared" si="8"/>
        <v>7.9379999999999997</v>
      </c>
      <c r="T95" s="68">
        <v>0.25</v>
      </c>
      <c r="X95" s="68">
        <v>0.25</v>
      </c>
      <c r="Y95" s="102">
        <f t="shared" si="5"/>
        <v>4.41</v>
      </c>
      <c r="AA95">
        <v>1849</v>
      </c>
      <c r="AH95" s="68">
        <v>0.45</v>
      </c>
      <c r="AI95" s="68">
        <v>7.9379999999999992E-2</v>
      </c>
      <c r="AJ95" s="68">
        <v>0.25</v>
      </c>
      <c r="AK95" s="68">
        <v>4.41E-2</v>
      </c>
    </row>
    <row r="96" spans="1:37">
      <c r="A96">
        <v>1850</v>
      </c>
      <c r="B96" s="35">
        <v>0.95</v>
      </c>
      <c r="C96" s="68">
        <v>18</v>
      </c>
      <c r="N96" s="68">
        <v>0.4</v>
      </c>
      <c r="O96" s="68">
        <f t="shared" si="6"/>
        <v>6.84</v>
      </c>
      <c r="Q96" s="68">
        <v>0.4</v>
      </c>
      <c r="R96" s="102">
        <f t="shared" si="8"/>
        <v>6.84</v>
      </c>
      <c r="T96" s="68">
        <v>0.25</v>
      </c>
      <c r="X96" s="68">
        <v>0.25</v>
      </c>
      <c r="Y96" s="102">
        <f t="shared" si="5"/>
        <v>4.2749999999999995</v>
      </c>
      <c r="AA96">
        <v>1850</v>
      </c>
      <c r="AH96" s="68">
        <v>0.4</v>
      </c>
      <c r="AI96" s="68">
        <v>6.8400000000000002E-2</v>
      </c>
      <c r="AJ96" s="68">
        <v>0.25</v>
      </c>
      <c r="AK96" s="68">
        <v>4.2749999999999996E-2</v>
      </c>
    </row>
    <row r="97" spans="1:37">
      <c r="A97">
        <v>1851</v>
      </c>
      <c r="B97" s="35">
        <v>0.95</v>
      </c>
      <c r="C97" s="68">
        <v>18</v>
      </c>
      <c r="N97" s="68">
        <v>0.4</v>
      </c>
      <c r="O97" s="68">
        <f t="shared" si="6"/>
        <v>6.84</v>
      </c>
      <c r="Q97" s="68">
        <v>0.4</v>
      </c>
      <c r="R97" s="102">
        <f t="shared" si="8"/>
        <v>6.84</v>
      </c>
      <c r="T97" s="68">
        <v>0.25</v>
      </c>
      <c r="X97" s="68">
        <v>0.25</v>
      </c>
      <c r="Y97" s="102">
        <f t="shared" si="5"/>
        <v>4.2749999999999995</v>
      </c>
      <c r="AA97">
        <v>1851</v>
      </c>
      <c r="AH97" s="68">
        <v>0.4</v>
      </c>
      <c r="AI97" s="68">
        <v>6.8400000000000002E-2</v>
      </c>
      <c r="AJ97" s="68">
        <v>0.25</v>
      </c>
      <c r="AK97" s="68">
        <v>4.2749999999999996E-2</v>
      </c>
    </row>
    <row r="98" spans="1:37">
      <c r="A98">
        <v>1852</v>
      </c>
      <c r="B98" s="35">
        <v>0.95</v>
      </c>
      <c r="C98" s="68">
        <v>18</v>
      </c>
      <c r="N98" s="68">
        <v>0.5</v>
      </c>
      <c r="O98" s="68">
        <f t="shared" si="6"/>
        <v>8.5499999999999989</v>
      </c>
      <c r="Q98" s="68">
        <v>0.5</v>
      </c>
      <c r="R98" s="102">
        <f t="shared" si="8"/>
        <v>8.5499999999999989</v>
      </c>
      <c r="T98" s="68">
        <v>0.25</v>
      </c>
      <c r="X98" s="68">
        <v>0.25</v>
      </c>
      <c r="Y98" s="102">
        <f t="shared" si="5"/>
        <v>4.2749999999999995</v>
      </c>
      <c r="AA98">
        <v>1852</v>
      </c>
      <c r="AH98" s="68">
        <v>0.5</v>
      </c>
      <c r="AI98" s="68">
        <v>8.5499999999999993E-2</v>
      </c>
      <c r="AJ98" s="68">
        <v>0.25</v>
      </c>
      <c r="AK98" s="68">
        <v>4.2749999999999996E-2</v>
      </c>
    </row>
    <row r="99" spans="1:37">
      <c r="A99">
        <v>1853</v>
      </c>
      <c r="B99" s="35">
        <v>0.95</v>
      </c>
      <c r="C99" s="68">
        <v>18</v>
      </c>
      <c r="N99" s="68">
        <v>0.45</v>
      </c>
      <c r="O99" s="68">
        <f t="shared" si="6"/>
        <v>7.6950000000000003</v>
      </c>
      <c r="Q99" s="68">
        <v>0.45</v>
      </c>
      <c r="R99" s="102">
        <f t="shared" si="8"/>
        <v>7.6950000000000003</v>
      </c>
      <c r="T99" s="68">
        <v>0.25</v>
      </c>
      <c r="X99" s="68">
        <v>0.25</v>
      </c>
      <c r="Y99" s="102">
        <f t="shared" si="5"/>
        <v>4.2749999999999995</v>
      </c>
      <c r="AA99">
        <v>1853</v>
      </c>
      <c r="AH99" s="68">
        <v>0.45</v>
      </c>
      <c r="AI99" s="68">
        <v>7.6949999999999991E-2</v>
      </c>
      <c r="AJ99" s="68">
        <v>0.25</v>
      </c>
      <c r="AK99" s="68">
        <v>4.2749999999999996E-2</v>
      </c>
    </row>
    <row r="100" spans="1:37">
      <c r="A100">
        <v>1854</v>
      </c>
      <c r="B100" s="35">
        <v>0.95</v>
      </c>
      <c r="C100" s="68">
        <v>18</v>
      </c>
      <c r="N100" s="68">
        <v>0.45</v>
      </c>
      <c r="O100" s="68">
        <f t="shared" si="6"/>
        <v>7.6950000000000003</v>
      </c>
      <c r="Q100" s="68">
        <v>0.45</v>
      </c>
      <c r="R100" s="102">
        <f t="shared" si="8"/>
        <v>7.6950000000000003</v>
      </c>
      <c r="T100" s="68">
        <v>0.25</v>
      </c>
      <c r="X100" s="68">
        <v>0.25</v>
      </c>
      <c r="Y100" s="102">
        <f t="shared" si="5"/>
        <v>4.2749999999999995</v>
      </c>
      <c r="AA100">
        <v>1854</v>
      </c>
      <c r="AH100" s="68">
        <v>0.45</v>
      </c>
      <c r="AI100" s="68">
        <v>7.6949999999999991E-2</v>
      </c>
      <c r="AJ100" s="68">
        <v>0.25</v>
      </c>
      <c r="AK100" s="68">
        <v>4.2749999999999996E-2</v>
      </c>
    </row>
    <row r="101" spans="1:37">
      <c r="A101">
        <v>1855</v>
      </c>
      <c r="B101" s="35">
        <v>0.95</v>
      </c>
      <c r="C101" s="68">
        <v>18</v>
      </c>
      <c r="N101" s="68">
        <v>0.5</v>
      </c>
      <c r="O101" s="68">
        <f t="shared" si="6"/>
        <v>8.5499999999999989</v>
      </c>
      <c r="Q101" s="68">
        <v>0.5</v>
      </c>
      <c r="R101" s="102">
        <f t="shared" si="8"/>
        <v>8.5499999999999989</v>
      </c>
      <c r="T101" s="68">
        <v>0.3</v>
      </c>
      <c r="X101" s="68">
        <v>0.3</v>
      </c>
      <c r="Y101" s="102">
        <f t="shared" si="5"/>
        <v>5.13</v>
      </c>
      <c r="AA101">
        <v>1855</v>
      </c>
      <c r="AH101" s="68">
        <v>0.5</v>
      </c>
      <c r="AI101" s="68">
        <v>8.5499999999999993E-2</v>
      </c>
      <c r="AJ101" s="68">
        <v>0.3</v>
      </c>
      <c r="AK101" s="68">
        <v>5.1299999999999991E-2</v>
      </c>
    </row>
    <row r="102" spans="1:37">
      <c r="A102">
        <v>1856</v>
      </c>
      <c r="B102" s="35">
        <v>0.95</v>
      </c>
      <c r="C102" s="68">
        <v>18</v>
      </c>
      <c r="N102" s="68">
        <v>0.6</v>
      </c>
      <c r="O102" s="68">
        <f t="shared" si="6"/>
        <v>10.26</v>
      </c>
      <c r="Q102" s="68">
        <v>0.6</v>
      </c>
      <c r="R102" s="102">
        <f t="shared" si="8"/>
        <v>10.26</v>
      </c>
      <c r="T102" s="68">
        <v>0.3</v>
      </c>
      <c r="X102" s="68">
        <v>0.3</v>
      </c>
      <c r="Y102" s="102">
        <f t="shared" si="5"/>
        <v>5.13</v>
      </c>
      <c r="AA102">
        <v>1856</v>
      </c>
      <c r="AH102" s="68">
        <v>0.6</v>
      </c>
      <c r="AI102" s="68">
        <v>0.10259999999999998</v>
      </c>
      <c r="AJ102" s="68">
        <v>0.3</v>
      </c>
      <c r="AK102" s="68">
        <v>5.1299999999999991E-2</v>
      </c>
    </row>
    <row r="103" spans="1:37">
      <c r="A103">
        <v>1857</v>
      </c>
      <c r="B103" s="35">
        <v>0.95</v>
      </c>
      <c r="C103" s="68">
        <v>18</v>
      </c>
      <c r="Q103" s="68"/>
      <c r="X103" s="68"/>
      <c r="AA103">
        <v>1857</v>
      </c>
    </row>
    <row r="104" spans="1:37">
      <c r="A104">
        <v>1858</v>
      </c>
      <c r="B104" s="35">
        <v>0.95</v>
      </c>
      <c r="C104" s="68">
        <v>18</v>
      </c>
      <c r="N104" s="68">
        <v>0.8</v>
      </c>
      <c r="O104" s="68">
        <f>N104*B104*C104</f>
        <v>13.68</v>
      </c>
      <c r="Q104" s="68">
        <v>0.8</v>
      </c>
      <c r="R104" s="102">
        <f t="shared" ref="R104:R107" si="9">Q104*B104*C104</f>
        <v>13.68</v>
      </c>
      <c r="T104" s="68">
        <v>0.4</v>
      </c>
      <c r="X104" s="68">
        <v>0.4</v>
      </c>
      <c r="Y104" s="102">
        <f>X104*B104*C104</f>
        <v>6.84</v>
      </c>
      <c r="AA104">
        <v>1858</v>
      </c>
      <c r="AH104" s="68">
        <v>0.8</v>
      </c>
      <c r="AI104" s="68">
        <v>0.1368</v>
      </c>
      <c r="AJ104" s="68">
        <v>0.4</v>
      </c>
      <c r="AK104" s="68">
        <v>6.8400000000000002E-2</v>
      </c>
    </row>
    <row r="105" spans="1:37">
      <c r="A105">
        <v>1859</v>
      </c>
      <c r="B105" s="35">
        <v>0.95</v>
      </c>
      <c r="C105" s="68">
        <v>18</v>
      </c>
      <c r="N105" s="68">
        <v>0.85</v>
      </c>
      <c r="O105" s="68">
        <f>N105*B105*C105</f>
        <v>14.535</v>
      </c>
      <c r="Q105" s="68">
        <v>0.85</v>
      </c>
      <c r="R105" s="102">
        <f t="shared" si="9"/>
        <v>14.535</v>
      </c>
      <c r="T105" s="68">
        <v>0.5</v>
      </c>
      <c r="X105" s="68">
        <v>0.5</v>
      </c>
      <c r="Y105" s="102">
        <f>X105*B105*C105</f>
        <v>8.5499999999999989</v>
      </c>
      <c r="AA105">
        <v>1859</v>
      </c>
      <c r="AH105" s="68">
        <v>0.85</v>
      </c>
      <c r="AI105" s="68">
        <v>0.14535000000000001</v>
      </c>
      <c r="AJ105" s="68">
        <v>0.5</v>
      </c>
      <c r="AK105" s="68">
        <v>8.5499999999999993E-2</v>
      </c>
    </row>
    <row r="106" spans="1:37">
      <c r="A106">
        <v>1860</v>
      </c>
      <c r="B106" s="35">
        <v>0.83</v>
      </c>
      <c r="C106" s="68">
        <v>18</v>
      </c>
      <c r="N106" s="68">
        <v>0.9</v>
      </c>
      <c r="O106" s="68">
        <f>N106*B106*C106</f>
        <v>13.446</v>
      </c>
      <c r="Q106" s="68">
        <v>0.9</v>
      </c>
      <c r="R106" s="102">
        <f t="shared" si="9"/>
        <v>13.446</v>
      </c>
      <c r="T106" s="68">
        <v>0.5</v>
      </c>
      <c r="X106" s="68">
        <v>0.5</v>
      </c>
      <c r="Y106" s="102">
        <f>X106*B106*C106</f>
        <v>7.47</v>
      </c>
      <c r="AA106">
        <v>1860</v>
      </c>
      <c r="AH106" s="68">
        <v>0.9</v>
      </c>
      <c r="AI106" s="68">
        <v>0.13446</v>
      </c>
      <c r="AJ106" s="68">
        <v>0.5</v>
      </c>
      <c r="AK106" s="68">
        <v>7.4699999999999989E-2</v>
      </c>
    </row>
    <row r="107" spans="1:37">
      <c r="A107">
        <v>1861</v>
      </c>
      <c r="B107" s="35">
        <v>0.83</v>
      </c>
      <c r="C107" s="68">
        <v>18</v>
      </c>
      <c r="N107" s="68">
        <v>1</v>
      </c>
      <c r="O107" s="68">
        <f>N107*B107*C107</f>
        <v>14.94</v>
      </c>
      <c r="Q107" s="68">
        <v>1</v>
      </c>
      <c r="R107" s="102">
        <f t="shared" si="9"/>
        <v>14.94</v>
      </c>
      <c r="T107" s="68">
        <v>0.6</v>
      </c>
      <c r="X107" s="68">
        <v>0.6</v>
      </c>
      <c r="Y107" s="102">
        <f>X107*B107*C107</f>
        <v>8.9639999999999986</v>
      </c>
      <c r="AA107">
        <v>1861</v>
      </c>
      <c r="AH107" s="68">
        <v>1</v>
      </c>
      <c r="AI107" s="68">
        <v>0.14939999999999998</v>
      </c>
      <c r="AJ107" s="68">
        <v>0.6</v>
      </c>
      <c r="AK107" s="68">
        <v>8.9639999999999984E-2</v>
      </c>
    </row>
    <row r="108" spans="1:37">
      <c r="A108">
        <v>1862</v>
      </c>
      <c r="B108" s="35">
        <v>0.83</v>
      </c>
      <c r="C108" s="68">
        <v>18</v>
      </c>
      <c r="Q108" s="68"/>
      <c r="X108" s="68"/>
      <c r="AA108">
        <v>1862</v>
      </c>
    </row>
    <row r="109" spans="1:37">
      <c r="A109">
        <v>1863</v>
      </c>
      <c r="B109" s="35">
        <v>0.83</v>
      </c>
      <c r="C109" s="68">
        <v>18</v>
      </c>
      <c r="N109" s="68">
        <v>1</v>
      </c>
      <c r="O109" s="68">
        <f>N109*B109*C109</f>
        <v>14.94</v>
      </c>
      <c r="Q109" s="68">
        <v>1</v>
      </c>
      <c r="R109" s="102">
        <f t="shared" ref="R109:R113" si="10">Q109*B109*C109</f>
        <v>14.94</v>
      </c>
      <c r="T109" s="68">
        <v>0.7</v>
      </c>
      <c r="X109" s="68">
        <v>0.7</v>
      </c>
      <c r="Y109" s="102">
        <f>X109*B109*C109</f>
        <v>10.457999999999998</v>
      </c>
      <c r="AA109">
        <v>1863</v>
      </c>
      <c r="AH109" s="68">
        <v>1</v>
      </c>
      <c r="AI109" s="68">
        <v>0.14939999999999998</v>
      </c>
      <c r="AJ109" s="68">
        <v>0.7</v>
      </c>
      <c r="AK109" s="68">
        <v>0.10457999999999999</v>
      </c>
    </row>
    <row r="110" spans="1:37">
      <c r="A110">
        <v>1864</v>
      </c>
      <c r="B110" s="35">
        <v>0.83</v>
      </c>
      <c r="C110" s="68">
        <v>18</v>
      </c>
      <c r="N110" s="68">
        <v>1</v>
      </c>
      <c r="O110" s="68">
        <f>N110*B110*C110</f>
        <v>14.94</v>
      </c>
      <c r="Q110" s="68">
        <v>1</v>
      </c>
      <c r="R110" s="102">
        <f t="shared" si="10"/>
        <v>14.94</v>
      </c>
      <c r="T110" s="68">
        <v>0.75</v>
      </c>
      <c r="X110" s="68">
        <v>0.75</v>
      </c>
      <c r="Y110" s="102">
        <f>X110*B110*C110</f>
        <v>11.204999999999998</v>
      </c>
      <c r="AA110">
        <v>1864</v>
      </c>
      <c r="AH110" s="68">
        <v>1</v>
      </c>
      <c r="AI110" s="68">
        <v>0.14939999999999998</v>
      </c>
      <c r="AJ110" s="68">
        <v>0.75</v>
      </c>
      <c r="AK110" s="68">
        <v>0.11204999999999998</v>
      </c>
    </row>
    <row r="111" spans="1:37">
      <c r="A111">
        <v>1865</v>
      </c>
      <c r="B111" s="35">
        <v>0.83</v>
      </c>
      <c r="C111" s="68">
        <v>18</v>
      </c>
      <c r="N111" s="68">
        <v>1.1000000000000001</v>
      </c>
      <c r="O111" s="68">
        <f>N111*B111*C111</f>
        <v>16.434000000000001</v>
      </c>
      <c r="Q111" s="68">
        <v>1.1000000000000001</v>
      </c>
      <c r="R111" s="102">
        <f t="shared" si="10"/>
        <v>16.434000000000001</v>
      </c>
      <c r="T111" s="68">
        <v>0.75</v>
      </c>
      <c r="X111" s="68">
        <v>0.75</v>
      </c>
      <c r="Y111" s="102">
        <f>X111*B111*C111</f>
        <v>11.204999999999998</v>
      </c>
      <c r="AA111">
        <v>1865</v>
      </c>
      <c r="AH111" s="68">
        <v>1.1000000000000001</v>
      </c>
      <c r="AI111" s="68">
        <v>0.16434000000000001</v>
      </c>
      <c r="AJ111" s="68">
        <v>0.75</v>
      </c>
      <c r="AK111" s="68">
        <v>0.11204999999999998</v>
      </c>
    </row>
    <row r="112" spans="1:37">
      <c r="A112">
        <v>1866</v>
      </c>
      <c r="B112" s="35">
        <v>0.83</v>
      </c>
      <c r="C112" s="68">
        <v>18</v>
      </c>
      <c r="N112" s="68">
        <v>1.1000000000000001</v>
      </c>
      <c r="O112" s="68">
        <f>N112*B112*C112</f>
        <v>16.434000000000001</v>
      </c>
      <c r="Q112" s="68">
        <v>1.1000000000000001</v>
      </c>
      <c r="R112" s="102">
        <f t="shared" si="10"/>
        <v>16.434000000000001</v>
      </c>
      <c r="T112" s="68">
        <v>0.7</v>
      </c>
      <c r="X112" s="68">
        <v>0.7</v>
      </c>
      <c r="Y112" s="102">
        <f>X112*B112*C112</f>
        <v>10.457999999999998</v>
      </c>
      <c r="AA112">
        <v>1866</v>
      </c>
      <c r="AH112" s="68">
        <v>1.1000000000000001</v>
      </c>
      <c r="AI112" s="68">
        <v>0.16434000000000001</v>
      </c>
      <c r="AJ112" s="68">
        <v>0.7</v>
      </c>
      <c r="AK112" s="68">
        <v>0.10457999999999999</v>
      </c>
    </row>
    <row r="113" spans="1:37">
      <c r="A113">
        <v>1867</v>
      </c>
      <c r="B113" s="35">
        <v>0.83</v>
      </c>
      <c r="C113" s="68">
        <v>18</v>
      </c>
      <c r="N113" s="68">
        <v>1.1000000000000001</v>
      </c>
      <c r="O113" s="68">
        <f>N113*B113*C113</f>
        <v>16.434000000000001</v>
      </c>
      <c r="Q113" s="68">
        <v>1.1000000000000001</v>
      </c>
      <c r="R113" s="102">
        <f t="shared" si="10"/>
        <v>16.434000000000001</v>
      </c>
      <c r="T113" s="68">
        <v>0.7</v>
      </c>
      <c r="X113" s="68">
        <v>0.7</v>
      </c>
      <c r="Y113" s="102">
        <f>X113*B113*C113</f>
        <v>10.457999999999998</v>
      </c>
      <c r="AA113">
        <v>1867</v>
      </c>
      <c r="AH113" s="68">
        <v>1.1000000000000001</v>
      </c>
      <c r="AI113" s="68">
        <v>0.16434000000000001</v>
      </c>
      <c r="AJ113" s="68">
        <v>0.7</v>
      </c>
      <c r="AK113" s="68">
        <v>0.10457999999999999</v>
      </c>
    </row>
    <row r="114" spans="1:37">
      <c r="A114">
        <v>1868</v>
      </c>
      <c r="B114" s="35">
        <v>0.83</v>
      </c>
      <c r="C114" s="68">
        <v>18</v>
      </c>
      <c r="Q114" s="68"/>
      <c r="X114" s="68"/>
      <c r="AA114">
        <v>1868</v>
      </c>
    </row>
    <row r="115" spans="1:37">
      <c r="A115">
        <v>1869</v>
      </c>
      <c r="B115" s="35">
        <v>0.83</v>
      </c>
      <c r="C115" s="68">
        <v>18</v>
      </c>
      <c r="Q115" s="68"/>
      <c r="X115" s="68"/>
      <c r="AA115">
        <v>1869</v>
      </c>
    </row>
    <row r="116" spans="1:37">
      <c r="A116">
        <v>1870</v>
      </c>
      <c r="B116" s="35">
        <v>0.8</v>
      </c>
      <c r="C116" s="68">
        <v>18</v>
      </c>
      <c r="Q116" s="68"/>
      <c r="X116" s="68"/>
      <c r="AA116">
        <v>1870</v>
      </c>
    </row>
    <row r="117" spans="1:37">
      <c r="A117">
        <v>1871</v>
      </c>
      <c r="B117" s="35">
        <v>0.8</v>
      </c>
      <c r="C117" s="68">
        <v>18</v>
      </c>
      <c r="N117" s="68">
        <v>1.17</v>
      </c>
      <c r="O117" s="68">
        <f>N117*B117*C117</f>
        <v>16.847999999999999</v>
      </c>
      <c r="Q117" s="68">
        <v>1.17</v>
      </c>
      <c r="T117" s="68">
        <v>0.87083330000000003</v>
      </c>
      <c r="X117" s="68">
        <v>0.87083330000000003</v>
      </c>
      <c r="Y117" s="102">
        <f>X117*B117*C117</f>
        <v>12.539999520000002</v>
      </c>
      <c r="AA117">
        <v>1871</v>
      </c>
      <c r="AH117" s="68">
        <v>1.17</v>
      </c>
      <c r="AI117" s="68">
        <v>0.16847999999999999</v>
      </c>
      <c r="AJ117" s="68">
        <v>0.87083330000000003</v>
      </c>
      <c r="AK117" s="68">
        <v>0.1253999952</v>
      </c>
    </row>
    <row r="118" spans="1:37">
      <c r="A118">
        <v>1872</v>
      </c>
      <c r="B118" s="35">
        <v>0.8</v>
      </c>
      <c r="C118" s="68">
        <v>18</v>
      </c>
      <c r="N118" s="68">
        <v>1.2041667</v>
      </c>
      <c r="O118" s="68">
        <f>N118*B118*C118</f>
        <v>17.34000048</v>
      </c>
      <c r="Q118" s="68">
        <v>1.2041667</v>
      </c>
      <c r="T118" s="68">
        <v>0.80625000000000002</v>
      </c>
      <c r="X118" s="68">
        <v>0.80625000000000002</v>
      </c>
      <c r="Y118" s="102">
        <f>X118*B118*C118</f>
        <v>11.61</v>
      </c>
      <c r="AA118">
        <v>1872</v>
      </c>
      <c r="AH118" s="68">
        <v>1.2041667</v>
      </c>
      <c r="AI118" s="68">
        <v>0.17340000480000001</v>
      </c>
      <c r="AJ118" s="68">
        <v>0.80625000000000002</v>
      </c>
      <c r="AK118" s="68">
        <v>0.11609999999999999</v>
      </c>
    </row>
    <row r="119" spans="1:37">
      <c r="A119">
        <v>1873</v>
      </c>
      <c r="B119" s="35">
        <v>0.8</v>
      </c>
      <c r="C119" s="68">
        <v>18</v>
      </c>
      <c r="N119" s="68">
        <v>1.1625000000000001</v>
      </c>
      <c r="O119" s="68">
        <f>N119*B119*C119</f>
        <v>16.740000000000002</v>
      </c>
      <c r="Q119" s="68">
        <v>1.1625000000000001</v>
      </c>
      <c r="T119" s="68">
        <v>0.75416669999999997</v>
      </c>
      <c r="X119" s="68">
        <v>0.75416669999999997</v>
      </c>
      <c r="Y119" s="102">
        <f>X119*B119*C119</f>
        <v>10.86000048</v>
      </c>
      <c r="AA119">
        <v>1873</v>
      </c>
      <c r="AH119" s="68">
        <v>1.1625000000000001</v>
      </c>
      <c r="AI119" s="68">
        <v>0.16740000000000002</v>
      </c>
      <c r="AJ119" s="68">
        <v>0.75416669999999997</v>
      </c>
      <c r="AK119" s="68">
        <v>0.1086000048</v>
      </c>
    </row>
    <row r="120" spans="1:37">
      <c r="A120">
        <v>1874</v>
      </c>
      <c r="B120" s="35">
        <v>0.8</v>
      </c>
      <c r="C120" s="68">
        <v>18</v>
      </c>
      <c r="N120" s="68">
        <v>1.1499999999999999</v>
      </c>
      <c r="O120" s="68">
        <f>N120*B120*C120</f>
        <v>16.559999999999999</v>
      </c>
      <c r="Q120" s="68">
        <v>1.1499999999999999</v>
      </c>
      <c r="T120" s="68">
        <v>0.86458330000000005</v>
      </c>
      <c r="X120" s="68">
        <v>0.86458330000000005</v>
      </c>
      <c r="Y120" s="102">
        <f>X120*B120*C120</f>
        <v>12.449999520000002</v>
      </c>
      <c r="AA120">
        <v>1874</v>
      </c>
      <c r="AH120" s="68">
        <v>1.1499999999999999</v>
      </c>
      <c r="AI120" s="68">
        <v>0.16559999999999997</v>
      </c>
      <c r="AJ120" s="68">
        <v>0.86458330000000005</v>
      </c>
      <c r="AK120" s="68">
        <v>0.12449999520000002</v>
      </c>
    </row>
    <row r="121" spans="1:37">
      <c r="A121">
        <v>1875</v>
      </c>
      <c r="B121" s="35">
        <v>0.8</v>
      </c>
      <c r="C121" s="68">
        <v>18</v>
      </c>
      <c r="N121" s="68">
        <v>1.2416666999999999</v>
      </c>
      <c r="O121" s="68">
        <f>N121*B121*C121</f>
        <v>17.88000048</v>
      </c>
      <c r="Q121" s="68">
        <v>1.2416666999999999</v>
      </c>
      <c r="T121" s="68">
        <v>0.94166669999999997</v>
      </c>
      <c r="X121" s="68">
        <v>0.94166669999999997</v>
      </c>
    </row>
    <row r="122" spans="1:37">
      <c r="A122">
        <v>1876</v>
      </c>
      <c r="N122" s="68">
        <v>1.3666666999999999</v>
      </c>
      <c r="T122" s="68">
        <v>0.83958330000000003</v>
      </c>
      <c r="X122" s="68">
        <v>0.83958330000000003</v>
      </c>
    </row>
    <row r="123" spans="1:37">
      <c r="A123">
        <v>1877</v>
      </c>
      <c r="N123" s="68">
        <v>1.325</v>
      </c>
      <c r="T123" s="68">
        <v>0.875</v>
      </c>
      <c r="X123" s="68">
        <v>0.875</v>
      </c>
    </row>
    <row r="124" spans="1:37">
      <c r="A124">
        <v>1878</v>
      </c>
      <c r="N124" s="68">
        <v>1.3875</v>
      </c>
      <c r="T124" s="68">
        <v>0.79583329999999997</v>
      </c>
      <c r="X124" s="68">
        <v>0.79583329999999997</v>
      </c>
    </row>
    <row r="125" spans="1:37">
      <c r="A125">
        <v>1879</v>
      </c>
      <c r="N125" s="68">
        <v>1.3333333000000001</v>
      </c>
      <c r="T125" s="68">
        <v>0.72916669999999995</v>
      </c>
      <c r="X125" s="68">
        <v>0.72916669999999995</v>
      </c>
    </row>
    <row r="126" spans="1:37">
      <c r="A126">
        <v>1880</v>
      </c>
      <c r="N126" s="68">
        <v>1.3354166999999999</v>
      </c>
      <c r="T126" s="68">
        <v>0.75416669999999997</v>
      </c>
      <c r="X126" s="68">
        <v>0.75416669999999997</v>
      </c>
    </row>
    <row r="127" spans="1:37">
      <c r="A127">
        <v>1881</v>
      </c>
      <c r="N127" s="68">
        <v>1.2604166999999999</v>
      </c>
      <c r="T127" s="68">
        <v>0.66041669999999997</v>
      </c>
      <c r="X127" s="68">
        <v>0.66041669999999997</v>
      </c>
    </row>
    <row r="128" spans="1:37">
      <c r="A128">
        <v>1882</v>
      </c>
      <c r="N128" s="68">
        <v>1.2181818</v>
      </c>
      <c r="T128" s="68">
        <v>0.67272730000000003</v>
      </c>
      <c r="X128" s="68">
        <v>0.67272730000000003</v>
      </c>
    </row>
    <row r="129" spans="1:25">
      <c r="A129">
        <v>1883</v>
      </c>
      <c r="X129" s="68"/>
      <c r="Y129" s="68"/>
    </row>
    <row r="130" spans="1:25">
      <c r="A130">
        <v>1884</v>
      </c>
      <c r="N130" s="68">
        <v>1.2437499999999999</v>
      </c>
      <c r="T130" s="68">
        <v>0.63958329999999997</v>
      </c>
      <c r="X130" s="68">
        <v>0.63958329999999997</v>
      </c>
      <c r="Y130" s="68"/>
    </row>
    <row r="131" spans="1:25">
      <c r="A131">
        <v>1885</v>
      </c>
      <c r="N131" s="68">
        <v>1.2104166999999999</v>
      </c>
      <c r="T131" s="68">
        <v>0.65625</v>
      </c>
      <c r="X131" s="68">
        <v>0.65625</v>
      </c>
      <c r="Y131" s="68"/>
    </row>
    <row r="132" spans="1:25">
      <c r="A132">
        <v>1886</v>
      </c>
      <c r="N132" s="68">
        <v>1.2208333</v>
      </c>
      <c r="T132" s="68">
        <v>0.67708330000000005</v>
      </c>
      <c r="X132" s="68">
        <v>0.67708330000000005</v>
      </c>
      <c r="Y132" s="68"/>
    </row>
    <row r="133" spans="1:25">
      <c r="A133">
        <v>1887</v>
      </c>
      <c r="N133" s="68">
        <v>1.2395833000000001</v>
      </c>
      <c r="T133" s="68">
        <v>0.875</v>
      </c>
      <c r="X133" s="68">
        <v>0.875</v>
      </c>
      <c r="Y133" s="68"/>
    </row>
    <row r="134" spans="1:25">
      <c r="A134">
        <v>1888</v>
      </c>
      <c r="N134" s="68">
        <v>1.2854167000000001</v>
      </c>
      <c r="T134" s="68">
        <v>0.98124999999999996</v>
      </c>
      <c r="X134" s="68">
        <v>0.98124999999999996</v>
      </c>
      <c r="Y134" s="68"/>
    </row>
    <row r="135" spans="1:25">
      <c r="A135">
        <v>1889</v>
      </c>
      <c r="N135" s="68">
        <v>1.2916666999999999</v>
      </c>
      <c r="T135" s="68">
        <v>0.99375000000000002</v>
      </c>
      <c r="X135" s="68">
        <v>0.99375000000000002</v>
      </c>
      <c r="Y135" s="68"/>
    </row>
    <row r="136" spans="1:25">
      <c r="A136">
        <v>1890</v>
      </c>
      <c r="N136" s="68">
        <v>1.1090909</v>
      </c>
      <c r="T136" s="68">
        <v>0.85</v>
      </c>
      <c r="X136" s="68">
        <v>0.85</v>
      </c>
      <c r="Y136" s="68"/>
    </row>
    <row r="137" spans="1:25">
      <c r="A137">
        <v>1891</v>
      </c>
      <c r="N137" s="68">
        <v>0.98541670000000003</v>
      </c>
      <c r="T137" s="68">
        <v>0.73750000000000004</v>
      </c>
      <c r="X137" s="68">
        <v>0.73750000000000004</v>
      </c>
      <c r="Y137" s="68"/>
    </row>
    <row r="138" spans="1:25">
      <c r="A138">
        <v>1892</v>
      </c>
      <c r="N138" s="68">
        <v>0.93</v>
      </c>
      <c r="T138" s="68">
        <v>0.66</v>
      </c>
      <c r="X138" s="68">
        <v>0.66</v>
      </c>
      <c r="Y138" s="68"/>
    </row>
    <row r="139" spans="1:25">
      <c r="A139">
        <v>1893</v>
      </c>
      <c r="N139" s="68">
        <v>1.02</v>
      </c>
      <c r="T139" s="68">
        <v>0.71</v>
      </c>
      <c r="X139" s="68">
        <v>0.71</v>
      </c>
      <c r="Y139" s="68"/>
    </row>
    <row r="140" spans="1:25">
      <c r="A140">
        <v>1894</v>
      </c>
      <c r="N140" s="68">
        <v>0.99</v>
      </c>
      <c r="T140" s="68">
        <v>0.67</v>
      </c>
      <c r="X140" s="68">
        <v>0.67</v>
      </c>
      <c r="Y140" s="68"/>
    </row>
    <row r="141" spans="1:25">
      <c r="A141">
        <v>1895</v>
      </c>
      <c r="N141" s="68">
        <v>0.97</v>
      </c>
      <c r="T141" s="68">
        <v>0.65</v>
      </c>
      <c r="X141" s="68">
        <v>0.65</v>
      </c>
      <c r="Y141" s="68"/>
    </row>
    <row r="142" spans="1:25">
      <c r="A142">
        <v>1896</v>
      </c>
      <c r="N142" s="68">
        <v>0.99</v>
      </c>
      <c r="T142" s="68">
        <v>0.69</v>
      </c>
      <c r="X142" s="68">
        <v>0.69</v>
      </c>
      <c r="Y142" s="68"/>
    </row>
    <row r="143" spans="1:25">
      <c r="A143">
        <v>1897</v>
      </c>
      <c r="N143" s="68">
        <v>0.96</v>
      </c>
      <c r="T143" s="68">
        <v>0.7</v>
      </c>
      <c r="X143" s="68">
        <v>0.7</v>
      </c>
      <c r="Y143" s="68"/>
    </row>
    <row r="144" spans="1:25">
      <c r="A144">
        <v>1898</v>
      </c>
      <c r="N144" s="68">
        <v>1.1200000000000001</v>
      </c>
      <c r="T144" s="68">
        <v>0.7</v>
      </c>
      <c r="X144" s="68">
        <v>0.7</v>
      </c>
      <c r="Y144" s="68"/>
    </row>
    <row r="145" spans="1:25">
      <c r="A145">
        <v>1899</v>
      </c>
      <c r="N145" s="68">
        <v>1.1299999999999999</v>
      </c>
      <c r="T145" s="68">
        <v>0.72</v>
      </c>
      <c r="X145" s="68">
        <v>0.72</v>
      </c>
      <c r="Y145" s="68"/>
    </row>
    <row r="146" spans="1:25">
      <c r="A146">
        <v>1900</v>
      </c>
      <c r="N146" s="68">
        <v>1.24</v>
      </c>
      <c r="T146" s="68">
        <v>0.78</v>
      </c>
      <c r="X146" s="68">
        <v>0.78</v>
      </c>
      <c r="Y146" s="68"/>
    </row>
    <row r="147" spans="1:25">
      <c r="A147">
        <v>1901</v>
      </c>
      <c r="N147" s="68">
        <v>1.19</v>
      </c>
      <c r="T147" s="68">
        <v>0.77</v>
      </c>
      <c r="X147" s="68">
        <v>0.77</v>
      </c>
      <c r="Y147" s="68"/>
    </row>
    <row r="148" spans="1:25">
      <c r="A148">
        <v>1902</v>
      </c>
      <c r="N148" s="68">
        <v>1.29</v>
      </c>
      <c r="T148" s="68">
        <v>0.78</v>
      </c>
      <c r="X148" s="68">
        <v>0.78</v>
      </c>
      <c r="Y148" s="68"/>
    </row>
    <row r="149" spans="1:25">
      <c r="A149">
        <v>1903</v>
      </c>
      <c r="N149" s="68">
        <v>1.39</v>
      </c>
      <c r="T149" s="68">
        <v>0.86</v>
      </c>
      <c r="X149" s="68">
        <v>0.86</v>
      </c>
      <c r="Y149" s="68"/>
    </row>
    <row r="150" spans="1:25">
      <c r="A150">
        <v>1904</v>
      </c>
      <c r="N150" s="68">
        <v>1.25</v>
      </c>
      <c r="T150" s="68">
        <v>0.86</v>
      </c>
      <c r="X150" s="68">
        <v>0.86</v>
      </c>
      <c r="Y150" s="68"/>
    </row>
    <row r="151" spans="1:25">
      <c r="A151">
        <v>1905</v>
      </c>
      <c r="N151" s="68">
        <v>1.27</v>
      </c>
      <c r="T151" s="68">
        <v>0.95</v>
      </c>
      <c r="X151" s="68">
        <v>0.95</v>
      </c>
      <c r="Y151" s="68"/>
    </row>
    <row r="152" spans="1:25">
      <c r="A152">
        <v>1906</v>
      </c>
      <c r="N152" s="68">
        <v>1.28</v>
      </c>
      <c r="T152" s="68">
        <v>0.9</v>
      </c>
      <c r="X152" s="68">
        <v>0.9</v>
      </c>
      <c r="Y152" s="68"/>
    </row>
    <row r="153" spans="1:25">
      <c r="A153">
        <v>1907</v>
      </c>
      <c r="N153" s="68">
        <v>1.33</v>
      </c>
      <c r="T153" s="68">
        <v>0.94</v>
      </c>
      <c r="X153" s="68">
        <v>0.94</v>
      </c>
      <c r="Y153" s="68"/>
    </row>
    <row r="154" spans="1:25">
      <c r="A154">
        <v>1908</v>
      </c>
      <c r="N154" s="68">
        <v>1.42</v>
      </c>
      <c r="T154" s="68">
        <v>0.93</v>
      </c>
      <c r="X154" s="68">
        <v>0.93</v>
      </c>
      <c r="Y154" s="68"/>
    </row>
    <row r="155" spans="1:25">
      <c r="A155">
        <v>1909</v>
      </c>
      <c r="N155" s="68">
        <v>1.44</v>
      </c>
      <c r="T155" s="68">
        <v>0.89</v>
      </c>
      <c r="X155" s="68">
        <v>0.89</v>
      </c>
      <c r="Y155" s="68"/>
    </row>
    <row r="156" spans="1:25">
      <c r="A156">
        <v>1910</v>
      </c>
      <c r="N156" s="68">
        <v>1.43</v>
      </c>
      <c r="T156" s="68">
        <v>0.86</v>
      </c>
      <c r="X156" s="68">
        <v>0.86</v>
      </c>
      <c r="Y156" s="68"/>
    </row>
    <row r="157" spans="1:25">
      <c r="A157">
        <v>1911</v>
      </c>
      <c r="N157" s="68">
        <v>1.49</v>
      </c>
      <c r="T157" s="68">
        <v>0.92</v>
      </c>
      <c r="X157" s="68">
        <v>0.92</v>
      </c>
      <c r="Y157" s="68"/>
    </row>
    <row r="158" spans="1:25">
      <c r="A158">
        <v>1912</v>
      </c>
      <c r="N158" s="68">
        <v>1.57</v>
      </c>
      <c r="T158" s="68">
        <v>0.97</v>
      </c>
      <c r="X158" s="68">
        <v>0.97</v>
      </c>
      <c r="Y158" s="68"/>
    </row>
    <row r="159" spans="1:25">
      <c r="A159">
        <v>1913</v>
      </c>
      <c r="N159" s="68">
        <v>1.75</v>
      </c>
      <c r="T159" s="68">
        <v>1.05</v>
      </c>
      <c r="X159" s="68">
        <v>1.05</v>
      </c>
      <c r="Y159" s="68"/>
    </row>
    <row r="160" spans="1:25">
      <c r="A160">
        <v>1914</v>
      </c>
      <c r="N160" s="68">
        <v>1.75</v>
      </c>
      <c r="T160" s="68">
        <v>1.1200000000000001</v>
      </c>
      <c r="X160" s="68">
        <v>1.1200000000000001</v>
      </c>
      <c r="Y160" s="68"/>
    </row>
    <row r="161" spans="1:25">
      <c r="A161">
        <v>1915</v>
      </c>
      <c r="N161" s="68">
        <v>2.25</v>
      </c>
      <c r="T161" s="68">
        <v>1.74</v>
      </c>
      <c r="X161" s="68">
        <v>1.74</v>
      </c>
      <c r="Y161" s="68"/>
    </row>
    <row r="162" spans="1:25">
      <c r="A162">
        <v>1916</v>
      </c>
      <c r="N162" s="68">
        <v>3.75</v>
      </c>
      <c r="T162" s="68">
        <v>2.5</v>
      </c>
      <c r="X162" s="68">
        <v>2.5</v>
      </c>
      <c r="Y162" s="68"/>
    </row>
    <row r="163" spans="1:25">
      <c r="A163">
        <v>1917</v>
      </c>
      <c r="N163" s="68">
        <v>7</v>
      </c>
      <c r="T163" s="68">
        <v>5.5</v>
      </c>
      <c r="X163" s="68">
        <v>5.5</v>
      </c>
      <c r="Y163" s="68"/>
    </row>
    <row r="170" spans="1:25">
      <c r="A170" t="s">
        <v>335</v>
      </c>
    </row>
    <row r="171" spans="1:25">
      <c r="A171" s="66" t="s">
        <v>477</v>
      </c>
    </row>
    <row r="172" spans="1:25">
      <c r="A172" s="66" t="s">
        <v>775</v>
      </c>
    </row>
    <row r="173" spans="1:25">
      <c r="A173" s="66" t="s">
        <v>486</v>
      </c>
    </row>
    <row r="174" spans="1:25">
      <c r="A174" s="66" t="s">
        <v>487</v>
      </c>
    </row>
    <row r="175" spans="1:25">
      <c r="A175" s="66" t="s">
        <v>772</v>
      </c>
    </row>
    <row r="176" spans="1:25">
      <c r="A176" s="66" t="s">
        <v>773</v>
      </c>
    </row>
    <row r="177" spans="1:1">
      <c r="A177" s="66" t="s">
        <v>774</v>
      </c>
    </row>
    <row r="178" spans="1:1">
      <c r="A178" s="66" t="s">
        <v>501</v>
      </c>
    </row>
    <row r="179" spans="1:1">
      <c r="A179" s="66" t="s">
        <v>502</v>
      </c>
    </row>
    <row r="180" spans="1:1">
      <c r="A180" s="66" t="s">
        <v>503</v>
      </c>
    </row>
    <row r="181" spans="1:1">
      <c r="A181" s="66" t="s">
        <v>522</v>
      </c>
    </row>
    <row r="182" spans="1:1">
      <c r="A182" s="66" t="s">
        <v>524</v>
      </c>
    </row>
    <row r="183" spans="1:1">
      <c r="A183" s="66" t="s">
        <v>525</v>
      </c>
    </row>
    <row r="184" spans="1:1">
      <c r="A184" s="66" t="s">
        <v>526</v>
      </c>
    </row>
    <row r="185" spans="1:1">
      <c r="A185" s="66" t="s">
        <v>527</v>
      </c>
    </row>
    <row r="186" spans="1:1">
      <c r="A186" s="66" t="s">
        <v>528</v>
      </c>
    </row>
    <row r="187" spans="1:1">
      <c r="A187" s="66" t="s">
        <v>529</v>
      </c>
    </row>
    <row r="188" spans="1:1">
      <c r="A188" s="66" t="s">
        <v>530</v>
      </c>
    </row>
    <row r="189" spans="1:1">
      <c r="A189" s="66" t="s">
        <v>531</v>
      </c>
    </row>
    <row r="190" spans="1:1">
      <c r="A190" s="66" t="s">
        <v>532</v>
      </c>
    </row>
    <row r="191" spans="1:1">
      <c r="A191" s="66" t="s">
        <v>356</v>
      </c>
    </row>
    <row r="192" spans="1:1">
      <c r="A192" s="66" t="s">
        <v>357</v>
      </c>
    </row>
    <row r="193" spans="1:1">
      <c r="A193" s="66" t="s">
        <v>360</v>
      </c>
    </row>
    <row r="194" spans="1:1">
      <c r="A194" s="66" t="s">
        <v>361</v>
      </c>
    </row>
    <row r="195" spans="1:1">
      <c r="A195" s="66" t="s">
        <v>362</v>
      </c>
    </row>
    <row r="196" spans="1:1">
      <c r="A196" s="66" t="s">
        <v>390</v>
      </c>
    </row>
    <row r="197" spans="1:1">
      <c r="A197" s="66" t="s">
        <v>363</v>
      </c>
    </row>
    <row r="198" spans="1:1">
      <c r="A198" s="66" t="s">
        <v>364</v>
      </c>
    </row>
    <row r="199" spans="1:1">
      <c r="A199" s="66" t="s">
        <v>391</v>
      </c>
    </row>
    <row r="200" spans="1:1">
      <c r="A200" s="66" t="s">
        <v>533</v>
      </c>
    </row>
    <row r="201" spans="1:1">
      <c r="A201" s="66" t="s">
        <v>534</v>
      </c>
    </row>
    <row r="202" spans="1:1">
      <c r="A202" s="66" t="s">
        <v>535</v>
      </c>
    </row>
    <row r="203" spans="1:1">
      <c r="A203" s="66" t="s">
        <v>536</v>
      </c>
    </row>
    <row r="204" spans="1:1">
      <c r="A204" s="66" t="s">
        <v>537</v>
      </c>
    </row>
    <row r="205" spans="1:1">
      <c r="A205" s="66" t="s">
        <v>538</v>
      </c>
    </row>
    <row r="206" spans="1:1">
      <c r="A206" s="66" t="s">
        <v>539</v>
      </c>
    </row>
    <row r="207" spans="1:1">
      <c r="A207" s="66" t="s">
        <v>540</v>
      </c>
    </row>
    <row r="208" spans="1:1">
      <c r="A208" s="66" t="s">
        <v>541</v>
      </c>
    </row>
    <row r="209" spans="1:1">
      <c r="A209" s="66" t="s">
        <v>542</v>
      </c>
    </row>
    <row r="210" spans="1:1">
      <c r="A210" s="66" t="s">
        <v>543</v>
      </c>
    </row>
    <row r="211" spans="1:1">
      <c r="A211" s="66" t="s">
        <v>544</v>
      </c>
    </row>
    <row r="212" spans="1:1">
      <c r="A212" s="66" t="s">
        <v>545</v>
      </c>
    </row>
    <row r="213" spans="1:1">
      <c r="A213" s="66" t="s">
        <v>546</v>
      </c>
    </row>
    <row r="214" spans="1:1">
      <c r="A214" s="66" t="s">
        <v>547</v>
      </c>
    </row>
    <row r="215" spans="1:1">
      <c r="A215" s="66" t="s">
        <v>548</v>
      </c>
    </row>
    <row r="216" spans="1:1">
      <c r="A216" s="66" t="s">
        <v>549</v>
      </c>
    </row>
    <row r="217" spans="1:1">
      <c r="A217" s="66" t="s">
        <v>550</v>
      </c>
    </row>
    <row r="218" spans="1:1">
      <c r="A218" s="66" t="s">
        <v>551</v>
      </c>
    </row>
    <row r="219" spans="1:1">
      <c r="A219" s="66" t="s">
        <v>552</v>
      </c>
    </row>
    <row r="220" spans="1:1">
      <c r="A220" s="66" t="s">
        <v>553</v>
      </c>
    </row>
    <row r="221" spans="1:1">
      <c r="A221" s="66" t="s">
        <v>554</v>
      </c>
    </row>
    <row r="222" spans="1:1">
      <c r="A222" s="66" t="s">
        <v>555</v>
      </c>
    </row>
    <row r="223" spans="1:1">
      <c r="A223" s="66" t="s">
        <v>556</v>
      </c>
    </row>
    <row r="224" spans="1:1">
      <c r="A224" s="66" t="s">
        <v>557</v>
      </c>
    </row>
    <row r="225" spans="1:1">
      <c r="A225" s="66" t="s">
        <v>417</v>
      </c>
    </row>
    <row r="226" spans="1:1">
      <c r="A226" s="66" t="s">
        <v>477</v>
      </c>
    </row>
    <row r="227" spans="1:1">
      <c r="A227" s="66" t="s">
        <v>478</v>
      </c>
    </row>
    <row r="228" spans="1:1">
      <c r="A228" s="66" t="s">
        <v>479</v>
      </c>
    </row>
    <row r="229" spans="1:1">
      <c r="A229" s="66" t="s">
        <v>480</v>
      </c>
    </row>
    <row r="230" spans="1:1">
      <c r="A230" s="66" t="s">
        <v>481</v>
      </c>
    </row>
    <row r="231" spans="1:1">
      <c r="A231" s="66" t="s">
        <v>482</v>
      </c>
    </row>
    <row r="232" spans="1:1">
      <c r="A232" s="66" t="s">
        <v>483</v>
      </c>
    </row>
    <row r="233" spans="1:1">
      <c r="A233" s="66" t="s">
        <v>484</v>
      </c>
    </row>
    <row r="234" spans="1:1">
      <c r="A234" s="66" t="s">
        <v>485</v>
      </c>
    </row>
    <row r="235" spans="1:1">
      <c r="A235" s="66" t="s">
        <v>486</v>
      </c>
    </row>
    <row r="236" spans="1:1">
      <c r="A236" s="66" t="s">
        <v>487</v>
      </c>
    </row>
    <row r="237" spans="1:1">
      <c r="A237" s="66" t="s">
        <v>488</v>
      </c>
    </row>
    <row r="238" spans="1:1">
      <c r="A238" s="66" t="s">
        <v>489</v>
      </c>
    </row>
    <row r="239" spans="1:1">
      <c r="A239" s="66" t="s">
        <v>490</v>
      </c>
    </row>
    <row r="240" spans="1:1">
      <c r="A240" s="66" t="s">
        <v>491</v>
      </c>
    </row>
    <row r="241" spans="1:1">
      <c r="A241" s="66" t="s">
        <v>492</v>
      </c>
    </row>
    <row r="242" spans="1:1">
      <c r="A242" s="66" t="s">
        <v>493</v>
      </c>
    </row>
    <row r="243" spans="1:1">
      <c r="A243" s="66" t="s">
        <v>494</v>
      </c>
    </row>
    <row r="244" spans="1:1">
      <c r="A244" s="66" t="s">
        <v>495</v>
      </c>
    </row>
    <row r="245" spans="1:1">
      <c r="A245" s="66" t="s">
        <v>496</v>
      </c>
    </row>
    <row r="246" spans="1:1">
      <c r="A246" s="66" t="s">
        <v>497</v>
      </c>
    </row>
    <row r="247" spans="1:1">
      <c r="A247" s="66" t="s">
        <v>498</v>
      </c>
    </row>
    <row r="248" spans="1:1">
      <c r="A248" s="66" t="s">
        <v>499</v>
      </c>
    </row>
    <row r="249" spans="1:1">
      <c r="A249" s="66" t="s">
        <v>500</v>
      </c>
    </row>
    <row r="250" spans="1:1">
      <c r="A250" s="66" t="s">
        <v>501</v>
      </c>
    </row>
    <row r="251" spans="1:1">
      <c r="A251" s="66" t="s">
        <v>502</v>
      </c>
    </row>
    <row r="252" spans="1:1">
      <c r="A252" s="66" t="s">
        <v>503</v>
      </c>
    </row>
    <row r="253" spans="1:1">
      <c r="A253" s="66" t="s">
        <v>504</v>
      </c>
    </row>
    <row r="254" spans="1:1">
      <c r="A254" s="66" t="s">
        <v>505</v>
      </c>
    </row>
    <row r="255" spans="1:1">
      <c r="A255" s="66" t="s">
        <v>506</v>
      </c>
    </row>
    <row r="256" spans="1:1">
      <c r="A256" s="66" t="s">
        <v>507</v>
      </c>
    </row>
    <row r="257" spans="1:1">
      <c r="A257" s="66" t="s">
        <v>508</v>
      </c>
    </row>
    <row r="258" spans="1:1">
      <c r="A258" s="66" t="s">
        <v>509</v>
      </c>
    </row>
    <row r="259" spans="1:1">
      <c r="A259" s="66" t="s">
        <v>510</v>
      </c>
    </row>
    <row r="260" spans="1:1">
      <c r="A260" s="66" t="s">
        <v>511</v>
      </c>
    </row>
    <row r="261" spans="1:1">
      <c r="A261" s="66" t="s">
        <v>512</v>
      </c>
    </row>
    <row r="262" spans="1:1">
      <c r="A262" s="66" t="s">
        <v>513</v>
      </c>
    </row>
    <row r="263" spans="1:1">
      <c r="A263" s="66" t="s">
        <v>514</v>
      </c>
    </row>
    <row r="264" spans="1:1">
      <c r="A264" s="66" t="s">
        <v>515</v>
      </c>
    </row>
    <row r="265" spans="1:1">
      <c r="A265" s="66" t="s">
        <v>516</v>
      </c>
    </row>
    <row r="266" spans="1:1">
      <c r="A266" s="66" t="s">
        <v>517</v>
      </c>
    </row>
    <row r="267" spans="1:1">
      <c r="A267" s="66" t="s">
        <v>518</v>
      </c>
    </row>
    <row r="268" spans="1:1">
      <c r="A268" s="66" t="s">
        <v>519</v>
      </c>
    </row>
    <row r="269" spans="1:1">
      <c r="A269" s="66" t="s">
        <v>520</v>
      </c>
    </row>
    <row r="270" spans="1:1">
      <c r="A270" s="66" t="s">
        <v>521</v>
      </c>
    </row>
    <row r="271" spans="1:1">
      <c r="A271" s="66" t="s">
        <v>522</v>
      </c>
    </row>
    <row r="272" spans="1:1">
      <c r="A272" s="66" t="s">
        <v>523</v>
      </c>
    </row>
    <row r="273" spans="1:1">
      <c r="A273" s="66" t="s">
        <v>524</v>
      </c>
    </row>
    <row r="274" spans="1:1">
      <c r="A274" s="66" t="s">
        <v>525</v>
      </c>
    </row>
    <row r="275" spans="1:1">
      <c r="A275" s="66" t="s">
        <v>526</v>
      </c>
    </row>
    <row r="277" spans="1:1">
      <c r="A277" t="s">
        <v>611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X122"/>
  <sheetViews>
    <sheetView workbookViewId="0">
      <pane ySplit="1" topLeftCell="A2" activePane="bottomLeft" state="frozen"/>
      <selection pane="bottomLeft" activeCell="O23" sqref="O23"/>
    </sheetView>
  </sheetViews>
  <sheetFormatPr defaultRowHeight="15.75"/>
  <cols>
    <col min="2" max="2" width="18.59765625" style="72" customWidth="1"/>
    <col min="3" max="3" width="12.796875" style="73" customWidth="1"/>
    <col min="4" max="6" width="12.796875" style="99" customWidth="1"/>
    <col min="7" max="7" width="10.33203125" style="68" customWidth="1"/>
    <col min="8" max="9" width="9.06640625" style="68"/>
    <col min="12" max="12" width="8.73046875" style="88"/>
  </cols>
  <sheetData>
    <row r="1" spans="1:24" ht="79.150000000000006" thickBot="1">
      <c r="A1" s="192" t="s">
        <v>295</v>
      </c>
      <c r="B1" s="193" t="s">
        <v>288</v>
      </c>
      <c r="C1" s="192" t="s">
        <v>289</v>
      </c>
      <c r="D1" s="194" t="s">
        <v>560</v>
      </c>
      <c r="E1" s="194" t="s">
        <v>290</v>
      </c>
      <c r="F1" s="194" t="s">
        <v>561</v>
      </c>
      <c r="G1" s="194" t="s">
        <v>562</v>
      </c>
      <c r="H1" s="194" t="s">
        <v>564</v>
      </c>
      <c r="I1" s="194" t="s">
        <v>565</v>
      </c>
      <c r="J1" s="195" t="s">
        <v>604</v>
      </c>
      <c r="K1" s="195" t="s">
        <v>605</v>
      </c>
      <c r="P1" s="72"/>
      <c r="Q1" s="73"/>
      <c r="R1" s="73"/>
      <c r="S1" s="73"/>
      <c r="T1" s="80"/>
      <c r="U1" s="35"/>
      <c r="X1" s="87"/>
    </row>
    <row r="2" spans="1:24" ht="16.149999999999999" thickBot="1">
      <c r="A2" s="192">
        <v>1718</v>
      </c>
      <c r="B2" s="194">
        <v>4.7741878905000004</v>
      </c>
      <c r="C2" s="194"/>
      <c r="D2" s="194">
        <f>(0.03+0.016)/2</f>
        <v>2.3E-2</v>
      </c>
      <c r="E2" s="194">
        <f>B2*3</f>
        <v>14.322563671500001</v>
      </c>
      <c r="F2" s="194"/>
      <c r="G2" s="168">
        <f>D2*250/E2</f>
        <v>0.4014644397386577</v>
      </c>
      <c r="H2" s="194"/>
      <c r="I2" s="194"/>
      <c r="J2" s="196"/>
      <c r="K2" s="196"/>
      <c r="O2" s="50" t="s">
        <v>295</v>
      </c>
      <c r="P2" s="74" t="s">
        <v>296</v>
      </c>
      <c r="Q2" s="75" t="s">
        <v>297</v>
      </c>
      <c r="R2" s="75" t="s">
        <v>298</v>
      </c>
      <c r="S2" s="75" t="s">
        <v>299</v>
      </c>
      <c r="T2" s="81" t="s">
        <v>300</v>
      </c>
      <c r="U2" s="82" t="s">
        <v>301</v>
      </c>
      <c r="V2" s="51" t="s">
        <v>302</v>
      </c>
      <c r="X2" s="87"/>
    </row>
    <row r="3" spans="1:24" ht="16.149999999999999" thickBot="1">
      <c r="A3" s="197">
        <v>1722</v>
      </c>
      <c r="B3" s="194"/>
      <c r="C3" s="168">
        <v>2.5000000000000001E-2</v>
      </c>
      <c r="D3" s="194"/>
      <c r="E3" s="194"/>
      <c r="F3" s="194"/>
      <c r="G3" s="168"/>
      <c r="H3" s="168"/>
      <c r="I3" s="168"/>
      <c r="J3" s="196"/>
      <c r="K3" s="196"/>
      <c r="O3" s="52">
        <v>1704</v>
      </c>
      <c r="P3" s="76">
        <v>133</v>
      </c>
      <c r="Q3" s="77">
        <v>0.21</v>
      </c>
      <c r="R3" s="77">
        <v>0.02</v>
      </c>
      <c r="S3" s="77">
        <v>2.1</v>
      </c>
      <c r="T3" s="83">
        <v>0.45</v>
      </c>
      <c r="U3" s="84" t="s">
        <v>303</v>
      </c>
      <c r="V3" s="54" t="e">
        <f>E5:E73/10.71</f>
        <v>#VALUE!</v>
      </c>
      <c r="X3" s="87"/>
    </row>
    <row r="4" spans="1:24" ht="16.149999999999999" thickBot="1">
      <c r="A4" s="197">
        <v>1724</v>
      </c>
      <c r="B4" s="194"/>
      <c r="C4" s="168">
        <v>4.4999999999999998E-2</v>
      </c>
      <c r="D4" s="194"/>
      <c r="E4" s="194"/>
      <c r="F4" s="194"/>
      <c r="G4" s="168"/>
      <c r="H4" s="168"/>
      <c r="I4" s="168"/>
      <c r="J4" s="196"/>
      <c r="K4" s="196"/>
      <c r="O4" s="52">
        <v>1759</v>
      </c>
      <c r="P4" s="76">
        <v>500</v>
      </c>
      <c r="Q4" s="77">
        <v>0.42</v>
      </c>
      <c r="R4" s="77">
        <v>0.21</v>
      </c>
      <c r="S4" s="77">
        <v>15.75</v>
      </c>
      <c r="T4" s="83">
        <v>0.85</v>
      </c>
      <c r="U4" s="85" t="s">
        <v>304</v>
      </c>
      <c r="V4" s="54">
        <f>S4/16.56</f>
        <v>0.95108695652173925</v>
      </c>
      <c r="X4" s="87"/>
    </row>
    <row r="5" spans="1:24" ht="16.149999999999999" thickBot="1">
      <c r="A5" s="197">
        <v>1726</v>
      </c>
      <c r="B5" s="194"/>
      <c r="C5" s="198"/>
      <c r="D5" s="168">
        <v>0.1</v>
      </c>
      <c r="E5" s="194"/>
      <c r="F5" s="194"/>
      <c r="G5" s="168"/>
      <c r="H5" s="168"/>
      <c r="I5" s="168">
        <f>E6/D5</f>
        <v>123.62962342500001</v>
      </c>
      <c r="J5" s="196"/>
      <c r="K5" s="196"/>
      <c r="O5" s="52">
        <v>1761</v>
      </c>
      <c r="P5" s="76">
        <v>500</v>
      </c>
      <c r="Q5" s="77">
        <v>0.52</v>
      </c>
      <c r="R5" s="77">
        <v>0.26500000000000001</v>
      </c>
      <c r="S5" s="77">
        <v>19.875</v>
      </c>
      <c r="T5" s="83">
        <v>0.74</v>
      </c>
      <c r="U5" s="85" t="s">
        <v>304</v>
      </c>
      <c r="V5" s="54">
        <f>S5/16.56</f>
        <v>1.20018115942029</v>
      </c>
      <c r="X5" s="87"/>
    </row>
    <row r="6" spans="1:24" ht="16.149999999999999" thickBot="1">
      <c r="A6" s="197">
        <v>1728</v>
      </c>
      <c r="B6" s="194">
        <v>4.1209874475000001</v>
      </c>
      <c r="C6" s="198"/>
      <c r="D6" s="194"/>
      <c r="E6" s="194">
        <f>B6*3</f>
        <v>12.362962342500001</v>
      </c>
      <c r="F6" s="194">
        <f>(C4+C7)/2*250/E6</f>
        <v>0.61676156480616562</v>
      </c>
      <c r="G6" s="168">
        <f>D5*250/E6</f>
        <v>2.022169064938248</v>
      </c>
      <c r="H6" s="168">
        <f>E6/0.035</f>
        <v>353.22749549999997</v>
      </c>
      <c r="I6" s="168"/>
      <c r="J6" s="196"/>
      <c r="K6" s="196"/>
      <c r="O6" s="52">
        <v>1773</v>
      </c>
      <c r="P6" s="76">
        <v>545</v>
      </c>
      <c r="Q6" s="77">
        <v>0.5</v>
      </c>
      <c r="R6" s="77">
        <v>0.27</v>
      </c>
      <c r="S6" s="77">
        <v>20.440000000000001</v>
      </c>
      <c r="T6" s="83">
        <v>1.6</v>
      </c>
      <c r="U6" s="85" t="s">
        <v>305</v>
      </c>
      <c r="V6" s="54">
        <f>S6/18.53</f>
        <v>1.1030760928224501</v>
      </c>
      <c r="X6" s="87"/>
    </row>
    <row r="7" spans="1:24" ht="16.149999999999999" thickBot="1">
      <c r="A7" s="197">
        <v>1729</v>
      </c>
      <c r="B7" s="194"/>
      <c r="C7" s="168">
        <v>1.6E-2</v>
      </c>
      <c r="D7" s="194"/>
      <c r="E7" s="194"/>
      <c r="F7" s="194"/>
      <c r="G7" s="168"/>
      <c r="H7" s="168"/>
      <c r="I7" s="168"/>
      <c r="J7" s="196"/>
      <c r="K7" s="196"/>
      <c r="O7" s="52">
        <v>1774</v>
      </c>
      <c r="P7" s="76">
        <v>545</v>
      </c>
      <c r="Q7" s="77">
        <v>0.8</v>
      </c>
      <c r="R7" s="77">
        <v>0.43</v>
      </c>
      <c r="S7" s="77">
        <v>32.4</v>
      </c>
      <c r="T7" s="83">
        <v>2.0299999999999998</v>
      </c>
      <c r="U7" s="85" t="s">
        <v>305</v>
      </c>
      <c r="V7" s="54">
        <f>S7/18.53</f>
        <v>1.7485159201295195</v>
      </c>
      <c r="X7" s="87"/>
    </row>
    <row r="8" spans="1:24" ht="16.149999999999999" thickBot="1">
      <c r="A8" s="197">
        <v>1730</v>
      </c>
      <c r="B8" s="194"/>
      <c r="C8" s="198">
        <v>0.08</v>
      </c>
      <c r="D8" s="194"/>
      <c r="E8" s="194"/>
      <c r="F8" s="194"/>
      <c r="G8" s="168"/>
      <c r="H8" s="168"/>
      <c r="I8" s="168"/>
      <c r="J8" s="196"/>
      <c r="K8" s="196"/>
      <c r="O8" s="52">
        <v>1777</v>
      </c>
      <c r="P8" s="76">
        <v>545</v>
      </c>
      <c r="Q8" s="77">
        <v>0.85</v>
      </c>
      <c r="R8" s="77">
        <v>0.45</v>
      </c>
      <c r="S8" s="77">
        <v>32.770000000000003</v>
      </c>
      <c r="T8" s="83">
        <v>1.66</v>
      </c>
      <c r="U8" s="85">
        <v>18.53</v>
      </c>
      <c r="V8" s="54">
        <f>S8/U8</f>
        <v>1.7684835402050729</v>
      </c>
      <c r="X8" s="87"/>
    </row>
    <row r="9" spans="1:24" ht="16.149999999999999" thickBot="1">
      <c r="A9" s="197">
        <v>1731</v>
      </c>
      <c r="B9" s="194"/>
      <c r="C9" s="198">
        <v>1.2E-2</v>
      </c>
      <c r="D9" s="194"/>
      <c r="E9" s="194"/>
      <c r="F9" s="194"/>
      <c r="G9" s="168"/>
      <c r="H9" s="168"/>
      <c r="I9" s="168"/>
      <c r="J9" s="196"/>
      <c r="K9" s="196"/>
      <c r="O9" s="52">
        <v>1781</v>
      </c>
      <c r="P9" s="76">
        <v>545</v>
      </c>
      <c r="Q9" s="77">
        <v>0.84</v>
      </c>
      <c r="R9" s="77">
        <v>0.45</v>
      </c>
      <c r="S9" s="77">
        <v>34.340000000000003</v>
      </c>
      <c r="T9" s="83">
        <v>1.52</v>
      </c>
      <c r="U9" s="85" t="s">
        <v>306</v>
      </c>
      <c r="V9" s="54">
        <f>S9/32.82</f>
        <v>1.0463132236441195</v>
      </c>
      <c r="X9" s="87"/>
    </row>
    <row r="10" spans="1:24" ht="16.149999999999999" thickBot="1">
      <c r="A10" s="197">
        <v>1734</v>
      </c>
      <c r="B10" s="194"/>
      <c r="C10" s="168">
        <v>1.6666666666666666E-2</v>
      </c>
      <c r="D10" s="194"/>
      <c r="E10" s="194"/>
      <c r="F10" s="194"/>
      <c r="G10" s="168"/>
      <c r="H10" s="168"/>
      <c r="I10" s="168"/>
      <c r="J10" s="196"/>
      <c r="K10" s="196"/>
      <c r="O10" s="52">
        <v>1791</v>
      </c>
      <c r="P10" s="76">
        <v>545</v>
      </c>
      <c r="Q10" s="77">
        <v>0.76</v>
      </c>
      <c r="R10" s="77">
        <v>0.41</v>
      </c>
      <c r="S10" s="77">
        <v>30.38</v>
      </c>
      <c r="T10" s="83">
        <v>2.66</v>
      </c>
      <c r="U10" s="85" t="s">
        <v>307</v>
      </c>
      <c r="V10" s="54">
        <f>S10/42.27</f>
        <v>0.71871303524958596</v>
      </c>
      <c r="X10" s="87"/>
    </row>
    <row r="11" spans="1:24" ht="16.149999999999999" thickBot="1">
      <c r="A11" s="197">
        <v>1736</v>
      </c>
      <c r="B11" s="194"/>
      <c r="C11" s="168">
        <v>5.0000000000000001E-3</v>
      </c>
      <c r="D11" s="194"/>
      <c r="E11" s="194"/>
      <c r="F11" s="194"/>
      <c r="G11" s="168"/>
      <c r="H11" s="168"/>
      <c r="I11" s="168"/>
      <c r="J11" s="196"/>
      <c r="K11" s="196"/>
      <c r="O11" s="52">
        <v>1797</v>
      </c>
      <c r="P11" s="76">
        <v>545</v>
      </c>
      <c r="Q11" s="77">
        <v>1.04</v>
      </c>
      <c r="R11" s="77">
        <v>0.55000000000000004</v>
      </c>
      <c r="S11" s="77">
        <v>41.57</v>
      </c>
      <c r="T11" s="83">
        <v>4.32</v>
      </c>
      <c r="U11" s="86">
        <v>47.28</v>
      </c>
      <c r="V11" s="54">
        <f>S11/42.78</f>
        <v>0.97171575502571295</v>
      </c>
      <c r="X11" s="87"/>
    </row>
    <row r="12" spans="1:24" ht="16.149999999999999" thickBot="1">
      <c r="A12" s="197">
        <v>1737</v>
      </c>
      <c r="B12" s="194"/>
      <c r="C12" s="168">
        <v>1.381818181818182E-2</v>
      </c>
      <c r="D12" s="168"/>
      <c r="E12" s="194"/>
      <c r="F12" s="194"/>
      <c r="G12" s="168"/>
      <c r="H12" s="168"/>
      <c r="I12" s="168"/>
      <c r="J12" s="196"/>
      <c r="K12" s="196"/>
      <c r="O12" s="52">
        <v>1800</v>
      </c>
      <c r="P12" s="76">
        <v>545</v>
      </c>
      <c r="Q12" s="77">
        <v>1.1399999999999999</v>
      </c>
      <c r="R12" s="77">
        <v>0.61</v>
      </c>
      <c r="S12" s="77">
        <v>45.57</v>
      </c>
      <c r="T12" s="83">
        <v>4.6100000000000003</v>
      </c>
      <c r="U12" s="85">
        <v>51</v>
      </c>
      <c r="V12" s="54">
        <f>S12/U12</f>
        <v>0.89352941176470591</v>
      </c>
      <c r="X12" s="87"/>
    </row>
    <row r="13" spans="1:24">
      <c r="A13" s="197">
        <v>1738</v>
      </c>
      <c r="B13" s="194">
        <v>4.0068489300000003</v>
      </c>
      <c r="C13" s="168">
        <v>3.833333333333333E-2</v>
      </c>
      <c r="D13" s="194"/>
      <c r="E13" s="194">
        <f>B13*3</f>
        <v>12.020546790000001</v>
      </c>
      <c r="F13" s="198">
        <f>C13*250/E13</f>
        <v>0.79724604053001913</v>
      </c>
      <c r="G13" s="168"/>
      <c r="H13" s="168">
        <f>E13/C13</f>
        <v>313.5794814782609</v>
      </c>
      <c r="I13" s="168"/>
      <c r="J13" s="196"/>
      <c r="K13" s="196"/>
      <c r="P13" s="72"/>
      <c r="Q13" s="73"/>
      <c r="R13" s="73"/>
      <c r="S13" s="73"/>
      <c r="T13" s="80"/>
      <c r="U13" s="35"/>
      <c r="X13" s="87"/>
    </row>
    <row r="14" spans="1:24">
      <c r="A14" s="197">
        <v>1740</v>
      </c>
      <c r="B14" s="194"/>
      <c r="C14" s="168">
        <v>1.2999999999999999E-2</v>
      </c>
      <c r="D14" s="194"/>
      <c r="E14" s="194"/>
      <c r="F14" s="194"/>
      <c r="G14" s="168"/>
      <c r="H14" s="168"/>
      <c r="I14" s="168"/>
      <c r="J14" s="196"/>
      <c r="K14" s="196"/>
      <c r="P14" s="72"/>
      <c r="Q14" s="73"/>
      <c r="R14" s="73"/>
      <c r="S14" s="73"/>
      <c r="T14" s="80"/>
      <c r="U14" s="35"/>
      <c r="X14" s="87"/>
    </row>
    <row r="15" spans="1:24">
      <c r="A15" s="197">
        <v>1741</v>
      </c>
      <c r="B15" s="194"/>
      <c r="C15" s="168"/>
      <c r="D15" s="198">
        <v>0.12</v>
      </c>
      <c r="E15" s="194"/>
      <c r="F15" s="194"/>
      <c r="G15" s="168"/>
      <c r="H15" s="168"/>
      <c r="I15" s="168">
        <f>E13/D15</f>
        <v>100.17122325000001</v>
      </c>
      <c r="J15" s="196"/>
      <c r="K15" s="196"/>
      <c r="O15" s="53" t="s">
        <v>308</v>
      </c>
      <c r="P15" s="72"/>
      <c r="Q15" s="73"/>
      <c r="R15" s="73"/>
      <c r="S15" s="73"/>
      <c r="T15" s="80"/>
      <c r="U15" s="35"/>
      <c r="X15" s="87"/>
    </row>
    <row r="16" spans="1:24">
      <c r="A16" s="197">
        <v>1749</v>
      </c>
      <c r="B16" s="194"/>
      <c r="C16" s="168"/>
      <c r="D16" s="198">
        <v>0.36</v>
      </c>
      <c r="E16" s="194"/>
      <c r="F16" s="194"/>
      <c r="G16" s="168"/>
      <c r="H16" s="168"/>
      <c r="I16" s="168"/>
      <c r="J16" s="196"/>
      <c r="K16" s="196"/>
      <c r="P16" s="72"/>
      <c r="Q16" s="73"/>
      <c r="R16" s="73"/>
      <c r="S16" s="73"/>
      <c r="T16" s="80"/>
      <c r="U16" s="35"/>
      <c r="X16" s="87"/>
    </row>
    <row r="17" spans="1:11" ht="14.25">
      <c r="A17" s="197">
        <v>1756</v>
      </c>
      <c r="B17" s="194"/>
      <c r="C17" s="198">
        <v>0.02</v>
      </c>
      <c r="D17" s="194"/>
      <c r="E17" s="194"/>
      <c r="F17" s="194"/>
      <c r="G17" s="168"/>
      <c r="H17" s="168"/>
      <c r="I17" s="168"/>
      <c r="J17" s="196"/>
      <c r="K17" s="196"/>
    </row>
    <row r="18" spans="1:11" ht="14.25">
      <c r="A18" s="197">
        <v>1757</v>
      </c>
      <c r="B18" s="194"/>
      <c r="C18" s="194"/>
      <c r="D18" s="198">
        <v>0.15</v>
      </c>
      <c r="E18" s="194"/>
      <c r="F18" s="194"/>
      <c r="G18" s="168"/>
      <c r="H18" s="168"/>
      <c r="I18" s="168"/>
      <c r="J18" s="196"/>
      <c r="K18" s="196"/>
    </row>
    <row r="19" spans="1:11" ht="14.25">
      <c r="A19" s="197">
        <v>1759</v>
      </c>
      <c r="B19" s="194"/>
      <c r="C19" s="194"/>
      <c r="D19" s="198">
        <v>0.24</v>
      </c>
      <c r="E19" s="194"/>
      <c r="F19" s="194"/>
      <c r="G19" s="168"/>
      <c r="H19" s="168"/>
      <c r="I19" s="168"/>
      <c r="J19" s="196"/>
      <c r="K19" s="196"/>
    </row>
    <row r="20" spans="1:11" ht="14.25">
      <c r="A20" s="197">
        <v>1762</v>
      </c>
      <c r="B20" s="168">
        <v>4.2015216949999994</v>
      </c>
      <c r="C20" s="194">
        <v>0.04</v>
      </c>
      <c r="D20" s="198"/>
      <c r="E20" s="194">
        <f>B20*3</f>
        <v>12.604565084999997</v>
      </c>
      <c r="F20" s="198">
        <f>C20*250/E20</f>
        <v>0.79336335149718518</v>
      </c>
      <c r="G20" s="168"/>
      <c r="H20" s="168">
        <f>E20/C20</f>
        <v>315.11412712499992</v>
      </c>
      <c r="I20" s="168">
        <f>E20/D19</f>
        <v>52.519021187499987</v>
      </c>
      <c r="J20" s="196"/>
      <c r="K20" s="196"/>
    </row>
    <row r="21" spans="1:11" ht="14.25">
      <c r="A21" s="197">
        <v>1763</v>
      </c>
      <c r="B21" s="168">
        <v>4.3245307087499993</v>
      </c>
      <c r="C21" s="194"/>
      <c r="D21" s="194"/>
      <c r="E21" s="194">
        <f>B21*3</f>
        <v>12.973592126249997</v>
      </c>
      <c r="F21" s="198"/>
      <c r="G21" s="168"/>
      <c r="H21" s="168"/>
      <c r="I21" s="168"/>
      <c r="J21" s="196"/>
      <c r="K21" s="196"/>
    </row>
    <row r="22" spans="1:11" ht="14.25">
      <c r="A22" s="197">
        <v>1764</v>
      </c>
      <c r="B22" s="168">
        <v>4.249504763</v>
      </c>
      <c r="C22" s="168">
        <v>0.11333333333333333</v>
      </c>
      <c r="D22" s="168"/>
      <c r="E22" s="194">
        <f>B22*3</f>
        <v>12.748514288999999</v>
      </c>
      <c r="F22" s="198">
        <f>C22*250/E22</f>
        <v>2.2224811998509213</v>
      </c>
      <c r="G22" s="168"/>
      <c r="H22" s="168"/>
      <c r="I22" s="168"/>
      <c r="J22" s="196"/>
      <c r="K22" s="196"/>
    </row>
    <row r="23" spans="1:11" ht="14.25">
      <c r="A23" s="197">
        <v>1765</v>
      </c>
      <c r="B23" s="194"/>
      <c r="C23" s="194"/>
      <c r="D23" s="198">
        <v>0.61</v>
      </c>
      <c r="E23" s="194"/>
      <c r="F23" s="194"/>
      <c r="G23" s="168"/>
      <c r="H23" s="168"/>
      <c r="I23" s="168"/>
      <c r="J23" s="196"/>
      <c r="K23" s="196"/>
    </row>
    <row r="24" spans="1:11" ht="14.25">
      <c r="A24" s="197">
        <v>1766</v>
      </c>
      <c r="B24" s="194"/>
      <c r="C24" s="194"/>
      <c r="D24" s="168">
        <v>0.25</v>
      </c>
      <c r="E24" s="194"/>
      <c r="F24" s="194"/>
      <c r="G24" s="168"/>
      <c r="H24" s="168"/>
      <c r="I24" s="168"/>
      <c r="J24" s="196"/>
      <c r="K24" s="196"/>
    </row>
    <row r="25" spans="1:11" ht="14.25">
      <c r="A25" s="197">
        <v>1767</v>
      </c>
      <c r="B25" s="198">
        <v>8.1787793240999989</v>
      </c>
      <c r="C25" s="198">
        <v>0.05</v>
      </c>
      <c r="D25" s="168">
        <v>0.16</v>
      </c>
      <c r="E25" s="194">
        <f>B25*3</f>
        <v>24.536337972299997</v>
      </c>
      <c r="F25" s="198">
        <f>C25*250/E25</f>
        <v>0.50944847654575531</v>
      </c>
      <c r="G25" s="168">
        <f>D25*250/E25</f>
        <v>1.6302351249464169</v>
      </c>
      <c r="H25" s="168">
        <f>E25/C25</f>
        <v>490.7267594459999</v>
      </c>
      <c r="I25" s="168">
        <f>E25/D25</f>
        <v>153.35211232687499</v>
      </c>
      <c r="J25" s="196"/>
      <c r="K25" s="196"/>
    </row>
    <row r="26" spans="1:11" ht="14.25">
      <c r="A26" s="197">
        <v>1769</v>
      </c>
      <c r="B26" s="194"/>
      <c r="C26" s="198">
        <v>0.05</v>
      </c>
      <c r="D26" s="168">
        <v>7.0000000000000007E-2</v>
      </c>
      <c r="E26" s="194"/>
      <c r="F26" s="194"/>
      <c r="G26" s="168"/>
      <c r="H26" s="168"/>
      <c r="I26" s="168"/>
      <c r="J26" s="196"/>
      <c r="K26" s="196"/>
    </row>
    <row r="27" spans="1:11" ht="14.25">
      <c r="A27" s="197">
        <v>1772</v>
      </c>
      <c r="B27" s="194"/>
      <c r="C27" s="198">
        <v>0.08</v>
      </c>
      <c r="D27" s="194"/>
      <c r="E27" s="194"/>
      <c r="F27" s="194"/>
      <c r="G27" s="168"/>
      <c r="H27" s="168"/>
      <c r="I27" s="168"/>
      <c r="J27" s="196"/>
      <c r="K27" s="196"/>
    </row>
    <row r="28" spans="1:11" ht="14.25">
      <c r="A28" s="197">
        <v>1773</v>
      </c>
      <c r="B28" s="194"/>
      <c r="C28" s="194"/>
      <c r="D28" s="168">
        <v>0.26650000000000001</v>
      </c>
      <c r="E28" s="194"/>
      <c r="F28" s="194"/>
      <c r="G28" s="168"/>
      <c r="H28" s="168"/>
      <c r="I28" s="168"/>
      <c r="J28" s="196"/>
      <c r="K28" s="196"/>
    </row>
    <row r="29" spans="1:11" ht="14.25">
      <c r="A29" s="197">
        <v>1776</v>
      </c>
      <c r="B29" s="194"/>
      <c r="C29" s="198">
        <v>0.2</v>
      </c>
      <c r="D29" s="194"/>
      <c r="E29" s="194"/>
      <c r="F29" s="198"/>
      <c r="G29" s="168"/>
      <c r="H29" s="168"/>
      <c r="I29" s="168"/>
      <c r="J29" s="196"/>
      <c r="K29" s="196"/>
    </row>
    <row r="30" spans="1:11" ht="14.25">
      <c r="A30" s="197">
        <v>1777</v>
      </c>
      <c r="B30" s="198">
        <v>6.1177137105000003</v>
      </c>
      <c r="C30" s="168">
        <v>0.17666666666666667</v>
      </c>
      <c r="D30" s="168">
        <v>0.24152499999999999</v>
      </c>
      <c r="E30" s="194">
        <f>B30*3</f>
        <v>18.353141131500003</v>
      </c>
      <c r="F30" s="198">
        <f>C30*250/E30</f>
        <v>2.406490875333716</v>
      </c>
      <c r="G30" s="168">
        <f>D30*250/E30</f>
        <v>3.2899681622545791</v>
      </c>
      <c r="H30" s="168">
        <f>E30/C30</f>
        <v>103.88570451792454</v>
      </c>
      <c r="I30" s="168">
        <f>E30/D30</f>
        <v>75.988577296346151</v>
      </c>
      <c r="J30" s="196"/>
      <c r="K30" s="196"/>
    </row>
    <row r="31" spans="1:11" ht="14.25">
      <c r="A31" s="197">
        <v>1778</v>
      </c>
      <c r="B31" s="194"/>
      <c r="C31" s="168">
        <v>0.15846874999999996</v>
      </c>
      <c r="D31" s="168">
        <v>0.45305000000000001</v>
      </c>
      <c r="E31" s="194"/>
      <c r="F31" s="198"/>
      <c r="G31" s="168"/>
      <c r="H31" s="168"/>
      <c r="I31" s="168"/>
      <c r="J31" s="196"/>
      <c r="K31" s="196"/>
    </row>
    <row r="32" spans="1:11" ht="14.25">
      <c r="A32" s="197">
        <v>1779</v>
      </c>
      <c r="B32" s="194"/>
      <c r="C32" s="168">
        <v>0.12999999999999998</v>
      </c>
      <c r="D32" s="168">
        <v>0.32871666666666666</v>
      </c>
      <c r="E32" s="194"/>
      <c r="F32" s="194"/>
      <c r="G32" s="168"/>
      <c r="H32" s="168"/>
      <c r="I32" s="168"/>
      <c r="J32" s="196"/>
      <c r="K32" s="196"/>
    </row>
    <row r="33" spans="1:11" ht="14.25">
      <c r="A33" s="197">
        <v>1780</v>
      </c>
      <c r="B33" s="194"/>
      <c r="C33" s="168">
        <v>0.14466666666666667</v>
      </c>
      <c r="D33" s="168">
        <v>0.31552666666666668</v>
      </c>
      <c r="E33" s="194"/>
      <c r="F33" s="194"/>
      <c r="G33" s="168"/>
      <c r="H33" s="168"/>
      <c r="I33" s="168"/>
      <c r="J33" s="196"/>
      <c r="K33" s="196"/>
    </row>
    <row r="34" spans="1:11" ht="14.25">
      <c r="A34" s="197">
        <v>1781</v>
      </c>
      <c r="B34" s="194"/>
      <c r="C34" s="168"/>
      <c r="D34" s="168">
        <v>0.44772000000000001</v>
      </c>
      <c r="E34" s="194"/>
      <c r="F34" s="194"/>
      <c r="G34" s="168"/>
      <c r="H34" s="168"/>
      <c r="I34" s="168"/>
      <c r="J34" s="196"/>
      <c r="K34" s="196"/>
    </row>
    <row r="35" spans="1:11" ht="14.25">
      <c r="A35" s="197">
        <v>1784</v>
      </c>
      <c r="B35" s="194"/>
      <c r="C35" s="168">
        <v>0.14083333333333334</v>
      </c>
      <c r="D35" s="194"/>
      <c r="E35" s="194"/>
      <c r="F35" s="194"/>
      <c r="G35" s="168"/>
      <c r="H35" s="168"/>
      <c r="I35" s="168"/>
      <c r="J35" s="196"/>
      <c r="K35" s="196"/>
    </row>
    <row r="36" spans="1:11" ht="14.25">
      <c r="A36" s="197">
        <v>1785</v>
      </c>
      <c r="B36" s="194"/>
      <c r="C36" s="168">
        <v>0.13571428571428573</v>
      </c>
      <c r="D36" s="194"/>
      <c r="E36" s="194"/>
      <c r="F36" s="198"/>
      <c r="G36" s="168"/>
      <c r="H36" s="168"/>
      <c r="I36" s="168"/>
      <c r="J36" s="196"/>
      <c r="K36" s="196"/>
    </row>
    <row r="37" spans="1:11" ht="14.25">
      <c r="A37" s="197">
        <v>1786</v>
      </c>
      <c r="B37" s="198">
        <v>10.601767856362308</v>
      </c>
      <c r="C37" s="168">
        <v>0.1</v>
      </c>
      <c r="D37" s="194"/>
      <c r="E37" s="194">
        <f>B37*3</f>
        <v>31.805303569086924</v>
      </c>
      <c r="F37" s="198">
        <f>C37*250/E37</f>
        <v>0.7860324283871537</v>
      </c>
      <c r="G37" s="168"/>
      <c r="H37" s="168">
        <f>E37/C37</f>
        <v>318.05303569086919</v>
      </c>
      <c r="I37" s="168"/>
      <c r="J37" s="196"/>
      <c r="K37" s="196"/>
    </row>
    <row r="38" spans="1:11" ht="14.25">
      <c r="A38" s="197">
        <v>1787</v>
      </c>
      <c r="B38" s="194">
        <f>'subsistence for Moscow'!R60</f>
        <v>18.276205560574976</v>
      </c>
      <c r="C38" s="168">
        <v>0.18333333333333335</v>
      </c>
      <c r="D38" s="194"/>
      <c r="E38" s="194">
        <f>B38*3</f>
        <v>54.828616681724924</v>
      </c>
      <c r="F38" s="198">
        <f>C38*250/E38</f>
        <v>0.83593816709605528</v>
      </c>
      <c r="G38" s="168"/>
      <c r="H38" s="168">
        <f>E38/C38</f>
        <v>299.06518190031773</v>
      </c>
      <c r="I38" s="168"/>
      <c r="J38" s="196"/>
      <c r="K38" s="196"/>
    </row>
    <row r="39" spans="1:11" ht="14.25">
      <c r="A39" s="197">
        <v>1788</v>
      </c>
      <c r="B39" s="194">
        <f>'subsistence for Moscow'!R61</f>
        <v>12.572337336931639</v>
      </c>
      <c r="C39" s="168">
        <v>0.14083333333333334</v>
      </c>
      <c r="D39" s="194"/>
      <c r="E39" s="194">
        <f>B39*3</f>
        <v>37.717012010794917</v>
      </c>
      <c r="F39" s="198">
        <f>C39*250/E39</f>
        <v>0.93348681288052249</v>
      </c>
      <c r="G39" s="168"/>
      <c r="H39" s="168">
        <f>E39/C39</f>
        <v>267.8131030352302</v>
      </c>
      <c r="I39" s="168"/>
      <c r="J39" s="196"/>
      <c r="K39" s="196"/>
    </row>
    <row r="40" spans="1:11" ht="14.25">
      <c r="A40" s="197">
        <v>1789</v>
      </c>
      <c r="B40" s="194">
        <f>'subsistence for Moscow'!R62</f>
        <v>11.000405849931642</v>
      </c>
      <c r="C40" s="168">
        <v>0.16499999999999998</v>
      </c>
      <c r="D40" s="168">
        <v>0.25</v>
      </c>
      <c r="E40" s="194">
        <f>B40*3</f>
        <v>33.00121754979493</v>
      </c>
      <c r="F40" s="198">
        <f>C40*250/E40</f>
        <v>1.2499538823911156</v>
      </c>
      <c r="G40" s="168">
        <f>D40*250/E40</f>
        <v>1.8938695187744179</v>
      </c>
      <c r="H40" s="168"/>
      <c r="I40" s="168">
        <f>E39/D40</f>
        <v>150.86804804317967</v>
      </c>
      <c r="J40" s="196"/>
      <c r="K40" s="196"/>
    </row>
    <row r="41" spans="1:11" ht="14.25">
      <c r="A41" s="197">
        <v>1790</v>
      </c>
      <c r="B41" s="194"/>
      <c r="C41" s="168">
        <v>0.170375</v>
      </c>
      <c r="D41" s="168">
        <v>0.48333333333333339</v>
      </c>
      <c r="E41" s="194"/>
      <c r="F41" s="194"/>
      <c r="G41" s="168"/>
      <c r="H41" s="168"/>
      <c r="I41" s="168"/>
      <c r="J41" s="196"/>
      <c r="K41" s="196"/>
    </row>
    <row r="42" spans="1:11" ht="14.25">
      <c r="A42" s="197">
        <v>1791</v>
      </c>
      <c r="B42" s="194"/>
      <c r="C42" s="168"/>
      <c r="D42" s="168">
        <v>0.40508000000000005</v>
      </c>
      <c r="E42" s="194"/>
      <c r="F42" s="194"/>
      <c r="G42" s="168"/>
      <c r="H42" s="168"/>
      <c r="I42" s="168"/>
      <c r="J42" s="196"/>
      <c r="K42" s="196"/>
    </row>
    <row r="43" spans="1:11" ht="14.25">
      <c r="A43" s="197">
        <v>1792</v>
      </c>
      <c r="B43" s="194">
        <f>'subsistence for Moscow'!R65</f>
        <v>9.8821683624316421</v>
      </c>
      <c r="C43" s="198"/>
      <c r="D43" s="194"/>
      <c r="E43" s="194"/>
      <c r="F43" s="194"/>
      <c r="G43" s="168"/>
      <c r="H43" s="168"/>
      <c r="I43" s="168"/>
      <c r="J43" s="196"/>
      <c r="K43" s="196"/>
    </row>
    <row r="44" spans="1:11" ht="14.25">
      <c r="A44" s="197">
        <v>1793</v>
      </c>
      <c r="B44" s="168">
        <f>'subsistence for Moscow'!R66</f>
        <v>14.400411513833333</v>
      </c>
      <c r="C44" s="168">
        <v>0.11166666666666665</v>
      </c>
      <c r="D44" s="194"/>
      <c r="E44" s="194">
        <f t="shared" ref="E44:E53" si="0">B44*3</f>
        <v>43.2012345415</v>
      </c>
      <c r="F44" s="198">
        <f>C44*250/E44</f>
        <v>0.64620066910007712</v>
      </c>
      <c r="G44" s="168"/>
      <c r="H44" s="168">
        <f>E44/C44</f>
        <v>386.8767272373135</v>
      </c>
      <c r="I44" s="168"/>
      <c r="J44" s="196"/>
      <c r="K44" s="196"/>
    </row>
    <row r="45" spans="1:11" ht="14.25">
      <c r="A45" s="197">
        <v>1794</v>
      </c>
      <c r="B45" s="198">
        <f>'subsistence for Moscow'!R67</f>
        <v>13.15573865190577</v>
      </c>
      <c r="C45" s="168">
        <v>0.25</v>
      </c>
      <c r="D45" s="168"/>
      <c r="E45" s="194">
        <f t="shared" si="0"/>
        <v>39.467215955717307</v>
      </c>
      <c r="F45" s="198">
        <f>C45*250/E45</f>
        <v>1.5835928247415716</v>
      </c>
      <c r="G45" s="168">
        <f>D45*250/E45</f>
        <v>0</v>
      </c>
      <c r="H45" s="168">
        <f>E45/C45</f>
        <v>157.86886382286923</v>
      </c>
      <c r="I45" s="168"/>
      <c r="J45" s="196"/>
      <c r="K45" s="196"/>
    </row>
    <row r="46" spans="1:11" ht="14.25">
      <c r="A46" s="197">
        <v>1795</v>
      </c>
      <c r="B46" s="198">
        <f>'subsistence for Moscow'!R68</f>
        <v>15.92018632575</v>
      </c>
      <c r="C46" s="168"/>
      <c r="D46" s="168">
        <v>0.17199999999999999</v>
      </c>
      <c r="E46" s="194">
        <f t="shared" si="0"/>
        <v>47.76055897725</v>
      </c>
      <c r="F46" s="198"/>
      <c r="G46" s="168">
        <f>D46*250/E46</f>
        <v>0.90032447108674718</v>
      </c>
      <c r="H46" s="168"/>
      <c r="I46" s="168"/>
      <c r="J46" s="196"/>
      <c r="K46" s="196"/>
    </row>
    <row r="47" spans="1:11" ht="14.25">
      <c r="A47" s="197">
        <v>1796</v>
      </c>
      <c r="B47" s="198">
        <f>'subsistence for Moscow'!R69</f>
        <v>17.666848116218748</v>
      </c>
      <c r="C47" s="168">
        <v>0.25</v>
      </c>
      <c r="D47" s="168">
        <v>0.55000000000000004</v>
      </c>
      <c r="E47" s="194">
        <f t="shared" si="0"/>
        <v>53.000544348656248</v>
      </c>
      <c r="F47" s="198">
        <f>C47*250/E47</f>
        <v>1.179233171434108</v>
      </c>
      <c r="G47" s="168">
        <f>D47*250/E47</f>
        <v>2.5943129771550377</v>
      </c>
      <c r="H47" s="168">
        <f>E47/C47</f>
        <v>212.00217739462499</v>
      </c>
      <c r="I47" s="168">
        <f>E47/D47</f>
        <v>96.364626088465897</v>
      </c>
      <c r="J47" s="196"/>
      <c r="K47" s="196"/>
    </row>
    <row r="48" spans="1:11" ht="14.25">
      <c r="A48" s="197">
        <v>1797</v>
      </c>
      <c r="B48" s="198">
        <f>'subsistence for Moscow'!R70</f>
        <v>15.212691773343751</v>
      </c>
      <c r="C48" s="168"/>
      <c r="D48" s="168">
        <v>0.23</v>
      </c>
      <c r="E48" s="194">
        <f t="shared" si="0"/>
        <v>45.638075320031255</v>
      </c>
      <c r="F48" s="198"/>
      <c r="G48" s="168">
        <f>D48*250/E48</f>
        <v>1.2599129037933456</v>
      </c>
      <c r="H48" s="168"/>
      <c r="I48" s="168"/>
      <c r="J48" s="196"/>
      <c r="K48" s="196"/>
    </row>
    <row r="49" spans="1:11" ht="14.25">
      <c r="A49" s="197">
        <v>1798</v>
      </c>
      <c r="B49" s="198">
        <f>'subsistence for Moscow'!R71</f>
        <v>13.837095099000003</v>
      </c>
      <c r="C49" s="168">
        <v>0.1</v>
      </c>
      <c r="D49" s="168">
        <v>0.14599999999999999</v>
      </c>
      <c r="E49" s="194">
        <f t="shared" si="0"/>
        <v>41.511285297000008</v>
      </c>
      <c r="F49" s="198">
        <f>C49*250/E49</f>
        <v>0.60224586690421589</v>
      </c>
      <c r="G49" s="168">
        <f>D49*250/E49</f>
        <v>0.87927896568015518</v>
      </c>
      <c r="H49" s="168">
        <f>E49/C49</f>
        <v>415.11285297000006</v>
      </c>
      <c r="I49" s="168">
        <f>E49/D49</f>
        <v>284.32387189726035</v>
      </c>
      <c r="J49" s="196"/>
      <c r="K49" s="196"/>
    </row>
    <row r="50" spans="1:11" ht="14.25">
      <c r="A50" s="197">
        <v>1799</v>
      </c>
      <c r="B50" s="198">
        <f>'subsistence for Moscow'!R72</f>
        <v>14.1333016654375</v>
      </c>
      <c r="C50" s="194"/>
      <c r="D50" s="194"/>
      <c r="E50" s="194">
        <f t="shared" si="0"/>
        <v>42.3999049963125</v>
      </c>
      <c r="F50" s="198"/>
      <c r="G50" s="168"/>
      <c r="H50" s="168"/>
      <c r="I50" s="168"/>
      <c r="J50" s="196"/>
      <c r="K50" s="196"/>
    </row>
    <row r="51" spans="1:11" ht="14.25">
      <c r="A51" s="197">
        <v>1800</v>
      </c>
      <c r="B51" s="198">
        <f>'subsistence for Moscow'!R73</f>
        <v>17.359921714799999</v>
      </c>
      <c r="C51" s="168">
        <v>0.35</v>
      </c>
      <c r="D51" s="168">
        <v>0.60761999999999994</v>
      </c>
      <c r="E51" s="194">
        <f t="shared" si="0"/>
        <v>52.0797651444</v>
      </c>
      <c r="F51" s="198">
        <f>C51*250/E51</f>
        <v>1.6801151033878778</v>
      </c>
      <c r="G51" s="168">
        <f>D51*250/E51</f>
        <v>2.9167758260586916</v>
      </c>
      <c r="H51" s="168">
        <f>E51/C51</f>
        <v>148.799328984</v>
      </c>
      <c r="I51" s="168">
        <f>E51/D51</f>
        <v>85.711077884862263</v>
      </c>
      <c r="J51" s="196"/>
      <c r="K51" s="196"/>
    </row>
    <row r="52" spans="1:11" ht="14.25">
      <c r="A52" s="197">
        <v>1801</v>
      </c>
      <c r="B52" s="198">
        <f>'subsistence for Moscow'!R74</f>
        <v>18.106124678181644</v>
      </c>
      <c r="C52" s="194"/>
      <c r="D52" s="194"/>
      <c r="E52" s="194">
        <f t="shared" si="0"/>
        <v>54.318374034544931</v>
      </c>
      <c r="F52" s="198"/>
      <c r="G52" s="168"/>
      <c r="H52" s="168"/>
      <c r="I52" s="168"/>
      <c r="J52" s="196"/>
      <c r="K52" s="196"/>
    </row>
    <row r="53" spans="1:11" ht="14.25">
      <c r="A53" s="197">
        <v>1802</v>
      </c>
      <c r="B53" s="198">
        <f>'subsistence for Moscow'!R75</f>
        <v>15.313636863000001</v>
      </c>
      <c r="C53" s="194"/>
      <c r="D53" s="194"/>
      <c r="E53" s="194">
        <f t="shared" si="0"/>
        <v>45.940910589000005</v>
      </c>
      <c r="F53" s="198"/>
      <c r="G53" s="168"/>
      <c r="H53" s="168"/>
      <c r="I53" s="168"/>
      <c r="J53" s="196"/>
      <c r="K53" s="196"/>
    </row>
    <row r="54" spans="1:11" ht="14.25">
      <c r="A54" s="197">
        <v>1803</v>
      </c>
      <c r="B54" s="199"/>
      <c r="C54" s="194"/>
      <c r="D54" s="194"/>
      <c r="E54" s="198"/>
      <c r="F54" s="194"/>
      <c r="G54" s="168"/>
      <c r="H54" s="168"/>
      <c r="I54" s="168"/>
      <c r="J54" s="196"/>
      <c r="K54" s="196"/>
    </row>
    <row r="55" spans="1:11" ht="14.25">
      <c r="A55" s="200">
        <v>1804</v>
      </c>
      <c r="B55" s="168"/>
      <c r="C55" s="168"/>
      <c r="D55" s="168"/>
      <c r="E55" s="168"/>
      <c r="F55" s="168"/>
      <c r="G55" s="168"/>
      <c r="H55" s="168"/>
      <c r="I55" s="168"/>
      <c r="J55" s="196"/>
      <c r="K55" s="196"/>
    </row>
    <row r="56" spans="1:11" ht="14.25">
      <c r="A56" s="197">
        <v>1805</v>
      </c>
      <c r="B56" s="168">
        <f>'subsistence for Moscow'!R78</f>
        <v>15.067322237916665</v>
      </c>
      <c r="C56" s="168">
        <v>0.3</v>
      </c>
      <c r="D56" s="168"/>
      <c r="E56" s="194">
        <f t="shared" ref="E56:E57" si="1">B56*3</f>
        <v>45.201966713749997</v>
      </c>
      <c r="F56" s="198">
        <f>C56*250/E56</f>
        <v>1.6592198404762273</v>
      </c>
      <c r="G56" s="168"/>
      <c r="H56" s="168">
        <f>E56/C56</f>
        <v>150.67322237916667</v>
      </c>
      <c r="I56" s="168"/>
      <c r="J56" s="196"/>
      <c r="K56" s="196"/>
    </row>
    <row r="57" spans="1:11" ht="14.25">
      <c r="A57" s="197">
        <v>1806</v>
      </c>
      <c r="B57" s="168">
        <f>'subsistence for Moscow'!R79</f>
        <v>17.340630103125001</v>
      </c>
      <c r="C57" s="168">
        <v>0.4</v>
      </c>
      <c r="D57" s="168">
        <v>0.55000000000000004</v>
      </c>
      <c r="E57" s="194">
        <f t="shared" si="1"/>
        <v>52.021890309375003</v>
      </c>
      <c r="F57" s="198">
        <f>C57*250/E57</f>
        <v>1.9222677108674526</v>
      </c>
      <c r="G57" s="168">
        <f>D57*250/E57</f>
        <v>2.6431181024427475</v>
      </c>
      <c r="H57" s="168">
        <f>E57/C57</f>
        <v>130.0547257734375</v>
      </c>
      <c r="I57" s="168">
        <f>E57/D57</f>
        <v>94.585255107954538</v>
      </c>
      <c r="J57" s="196"/>
      <c r="K57" s="196"/>
    </row>
    <row r="58" spans="1:11" ht="14.25">
      <c r="A58" s="197">
        <v>1807</v>
      </c>
      <c r="B58" s="168">
        <f>'subsistence for Moscow'!R80</f>
        <v>18.1805791768125</v>
      </c>
      <c r="C58" s="168"/>
      <c r="D58" s="168"/>
      <c r="E58" s="194">
        <f>B58*3</f>
        <v>54.541737530437501</v>
      </c>
      <c r="F58" s="168"/>
      <c r="G58" s="168"/>
      <c r="H58" s="168"/>
      <c r="I58" s="168"/>
      <c r="J58" s="196"/>
      <c r="K58" s="196"/>
    </row>
    <row r="59" spans="1:11" ht="14.25">
      <c r="A59" s="197">
        <v>1808</v>
      </c>
      <c r="B59" s="168"/>
      <c r="C59" s="168"/>
      <c r="D59" s="168"/>
      <c r="E59" s="194"/>
      <c r="F59" s="168"/>
      <c r="G59" s="168"/>
      <c r="H59" s="168"/>
      <c r="I59" s="168"/>
      <c r="J59" s="196"/>
      <c r="K59" s="196"/>
    </row>
    <row r="60" spans="1:11" ht="14.25">
      <c r="A60" s="197">
        <v>1809</v>
      </c>
      <c r="B60" s="168">
        <f>'subsistence for Moscow'!R82</f>
        <v>24.760617378000006</v>
      </c>
      <c r="C60" s="168"/>
      <c r="D60" s="168">
        <v>1.35</v>
      </c>
      <c r="E60" s="194">
        <f t="shared" ref="E60:E61" si="2">B60*3</f>
        <v>74.281852134000019</v>
      </c>
      <c r="F60" s="198"/>
      <c r="G60" s="168">
        <f>D60*250/E60</f>
        <v>4.5435054499067977</v>
      </c>
      <c r="H60" s="168"/>
      <c r="I60" s="168">
        <f>E60/D60</f>
        <v>55.023594173333343</v>
      </c>
      <c r="J60" s="196"/>
      <c r="K60" s="196"/>
    </row>
    <row r="61" spans="1:11" ht="14.25">
      <c r="A61" s="197">
        <v>1810</v>
      </c>
      <c r="B61" s="168">
        <f>'subsistence for Moscow'!R83</f>
        <v>29.997571159500001</v>
      </c>
      <c r="C61" s="168"/>
      <c r="D61" s="168">
        <f>(1.35+1.4)/2</f>
        <v>1.375</v>
      </c>
      <c r="E61" s="194">
        <f t="shared" si="2"/>
        <v>89.992713478500008</v>
      </c>
      <c r="F61" s="198"/>
      <c r="G61" s="168">
        <f>D61*250/E61</f>
        <v>3.8197536968604093</v>
      </c>
      <c r="H61" s="168"/>
      <c r="I61" s="168">
        <f>E61/D61</f>
        <v>65.449246166181823</v>
      </c>
      <c r="J61" s="196"/>
      <c r="K61" s="196"/>
    </row>
    <row r="62" spans="1:11" ht="14.25">
      <c r="A62" s="197">
        <v>1811</v>
      </c>
      <c r="B62" s="168"/>
      <c r="C62" s="168"/>
      <c r="D62" s="168"/>
      <c r="E62" s="194"/>
      <c r="F62" s="168"/>
      <c r="G62" s="168"/>
      <c r="H62" s="168"/>
      <c r="I62" s="168"/>
      <c r="J62" s="196"/>
      <c r="K62" s="196"/>
    </row>
    <row r="63" spans="1:11" ht="14.25">
      <c r="A63" s="197">
        <v>1812</v>
      </c>
      <c r="B63" s="168"/>
      <c r="C63" s="168"/>
      <c r="D63" s="168"/>
      <c r="E63" s="194"/>
      <c r="F63" s="168"/>
      <c r="G63" s="168"/>
      <c r="H63" s="168"/>
      <c r="I63" s="168"/>
      <c r="J63" s="196"/>
      <c r="K63" s="196"/>
    </row>
    <row r="64" spans="1:11" ht="14.25">
      <c r="A64" s="197">
        <v>1813</v>
      </c>
      <c r="B64" s="168"/>
      <c r="C64" s="168"/>
      <c r="D64" s="168"/>
      <c r="E64" s="194"/>
      <c r="F64" s="168"/>
      <c r="G64" s="168"/>
      <c r="H64" s="168"/>
      <c r="I64" s="168"/>
      <c r="J64" s="196"/>
      <c r="K64" s="196"/>
    </row>
    <row r="65" spans="1:11" ht="14.25">
      <c r="A65" s="197">
        <v>1814</v>
      </c>
      <c r="B65" s="168"/>
      <c r="C65" s="168"/>
      <c r="D65" s="168"/>
      <c r="E65" s="194"/>
      <c r="F65" s="168"/>
      <c r="G65" s="168"/>
      <c r="H65" s="168"/>
      <c r="I65" s="168"/>
      <c r="J65" s="196"/>
      <c r="K65" s="196"/>
    </row>
    <row r="66" spans="1:11" ht="14.25">
      <c r="A66" s="197">
        <v>1815</v>
      </c>
      <c r="B66" s="168">
        <f>'subsistence for Moscow'!R88</f>
        <v>39.493489937999996</v>
      </c>
      <c r="C66" s="168">
        <f>'wages for Moscow'!N67</f>
        <v>1.86</v>
      </c>
      <c r="D66" s="168">
        <f>'wages for Moscow'!J67</f>
        <v>2.5</v>
      </c>
      <c r="E66" s="194">
        <f t="shared" ref="E66" si="3">B66*3</f>
        <v>118.48046981399999</v>
      </c>
      <c r="F66" s="198">
        <f>C66*250/E66</f>
        <v>3.9246974689583336</v>
      </c>
      <c r="G66" s="168">
        <f>D66*250/E66</f>
        <v>5.2751310066644272</v>
      </c>
      <c r="H66" s="168">
        <f>E66/C66</f>
        <v>63.699177319354831</v>
      </c>
      <c r="I66" s="168">
        <f>E66/D66</f>
        <v>47.392187925599998</v>
      </c>
      <c r="J66" s="196"/>
      <c r="K66" s="196"/>
    </row>
    <row r="67" spans="1:11" ht="14.25">
      <c r="A67" s="197">
        <v>1816</v>
      </c>
      <c r="B67" s="168"/>
      <c r="C67" s="168"/>
      <c r="D67" s="168"/>
      <c r="E67" s="194"/>
      <c r="F67" s="168"/>
      <c r="G67" s="168"/>
      <c r="H67" s="168"/>
      <c r="I67" s="168"/>
      <c r="J67" s="196"/>
      <c r="K67" s="196"/>
    </row>
    <row r="68" spans="1:11" ht="14.25">
      <c r="A68" s="197">
        <v>1817</v>
      </c>
      <c r="B68" s="168"/>
      <c r="C68" s="168"/>
      <c r="D68" s="168"/>
      <c r="E68" s="194"/>
      <c r="F68" s="168"/>
      <c r="G68" s="168"/>
      <c r="H68" s="168"/>
      <c r="I68" s="168"/>
      <c r="J68" s="196"/>
      <c r="K68" s="196"/>
    </row>
    <row r="69" spans="1:11" ht="14.25">
      <c r="A69" s="197">
        <v>1818</v>
      </c>
      <c r="B69" s="168"/>
      <c r="C69" s="168"/>
      <c r="D69" s="168"/>
      <c r="E69" s="194"/>
      <c r="F69" s="168"/>
      <c r="G69" s="168"/>
      <c r="H69" s="168"/>
      <c r="I69" s="168"/>
      <c r="J69" s="196"/>
      <c r="K69" s="196"/>
    </row>
    <row r="70" spans="1:11" ht="14.25">
      <c r="A70" s="143">
        <v>1819</v>
      </c>
      <c r="B70" s="168"/>
      <c r="C70" s="168"/>
      <c r="D70" s="168"/>
      <c r="E70" s="168"/>
      <c r="F70" s="168"/>
      <c r="G70" s="168"/>
      <c r="H70" s="168"/>
      <c r="I70" s="168"/>
      <c r="J70" s="196"/>
      <c r="K70" s="196"/>
    </row>
    <row r="71" spans="1:11" ht="14.25">
      <c r="A71" s="143">
        <v>1824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96"/>
    </row>
    <row r="72" spans="1:11" ht="14.25">
      <c r="A72" s="143">
        <v>1825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96"/>
    </row>
    <row r="73" spans="1:11" ht="14.25">
      <c r="A73" s="143">
        <v>1826</v>
      </c>
      <c r="B73" s="168"/>
      <c r="C73" s="168">
        <v>0.75</v>
      </c>
      <c r="D73" s="168">
        <v>1.75</v>
      </c>
      <c r="E73" s="168"/>
      <c r="F73" s="168"/>
      <c r="G73" s="168"/>
      <c r="H73" s="168"/>
      <c r="I73" s="168"/>
      <c r="J73" s="168"/>
      <c r="K73" s="196"/>
    </row>
    <row r="74" spans="1:11" ht="14.25">
      <c r="A74" s="143">
        <v>1827</v>
      </c>
      <c r="B74" s="168"/>
      <c r="C74" s="168">
        <v>0.6</v>
      </c>
      <c r="D74" s="168">
        <v>0.7</v>
      </c>
      <c r="E74" s="168"/>
      <c r="F74" s="168"/>
      <c r="G74" s="168"/>
      <c r="H74" s="168"/>
      <c r="I74" s="168"/>
      <c r="J74" s="168"/>
      <c r="K74" s="196"/>
    </row>
    <row r="75" spans="1:11" ht="14.25">
      <c r="A75" s="143">
        <v>1828</v>
      </c>
      <c r="B75" s="168">
        <v>80.857382600302401</v>
      </c>
      <c r="C75" s="168"/>
      <c r="D75" s="168"/>
      <c r="E75" s="168"/>
      <c r="F75" s="168"/>
      <c r="G75" s="168"/>
      <c r="H75" s="168"/>
      <c r="I75" s="168"/>
      <c r="J75" s="168"/>
      <c r="K75" s="196"/>
    </row>
    <row r="76" spans="1:11" ht="14.25">
      <c r="A76" s="143">
        <v>1829</v>
      </c>
      <c r="B76" s="168">
        <v>81.662765410266246</v>
      </c>
      <c r="C76" s="168"/>
      <c r="D76" s="168"/>
      <c r="E76" s="168"/>
      <c r="F76" s="168"/>
      <c r="G76" s="168"/>
      <c r="H76" s="168"/>
      <c r="I76" s="168"/>
      <c r="J76" s="168"/>
      <c r="K76" s="196"/>
    </row>
    <row r="77" spans="1:11" ht="14.25">
      <c r="A77" s="143">
        <v>1830</v>
      </c>
      <c r="B77" s="168"/>
      <c r="C77" s="168"/>
      <c r="D77" s="168"/>
      <c r="E77" s="168"/>
      <c r="F77" s="168"/>
      <c r="G77" s="168"/>
      <c r="H77" s="168"/>
      <c r="I77" s="168"/>
      <c r="J77" s="168"/>
      <c r="K77" s="196"/>
    </row>
    <row r="78" spans="1:11" ht="14.25">
      <c r="A78" s="143">
        <v>1831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96"/>
    </row>
    <row r="79" spans="1:11" ht="14.25">
      <c r="A79" s="143">
        <v>1832</v>
      </c>
      <c r="B79" s="168"/>
      <c r="C79" s="168">
        <v>1</v>
      </c>
      <c r="D79" s="168">
        <v>1.8</v>
      </c>
      <c r="E79" s="168"/>
      <c r="F79" s="168"/>
      <c r="G79" s="168"/>
      <c r="H79" s="168"/>
      <c r="I79" s="168"/>
      <c r="J79" s="168"/>
      <c r="K79" s="196"/>
    </row>
    <row r="80" spans="1:11" ht="14.25">
      <c r="A80" s="143">
        <v>1833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96"/>
    </row>
    <row r="81" spans="1:11" ht="14.25">
      <c r="A81" s="143">
        <v>1834</v>
      </c>
      <c r="B81" s="168"/>
      <c r="C81" s="168">
        <v>0.97</v>
      </c>
      <c r="D81" s="168">
        <v>1.9</v>
      </c>
      <c r="E81" s="168"/>
      <c r="F81" s="168"/>
      <c r="G81" s="168"/>
      <c r="H81" s="168"/>
      <c r="I81" s="168"/>
      <c r="J81" s="168"/>
      <c r="K81" s="196"/>
    </row>
    <row r="82" spans="1:11" ht="14.25">
      <c r="A82" s="143">
        <v>1835</v>
      </c>
      <c r="B82" s="168"/>
      <c r="C82" s="168"/>
      <c r="D82" s="168"/>
      <c r="E82" s="168"/>
      <c r="F82" s="168"/>
      <c r="G82" s="168"/>
      <c r="H82" s="168"/>
      <c r="I82" s="168"/>
      <c r="J82" s="168"/>
      <c r="K82" s="196"/>
    </row>
    <row r="83" spans="1:11" ht="14.25">
      <c r="A83" s="143">
        <v>1836</v>
      </c>
      <c r="B83" s="168">
        <v>91.107330555189719</v>
      </c>
      <c r="C83" s="168"/>
      <c r="D83" s="168"/>
      <c r="E83" s="168"/>
      <c r="F83" s="168"/>
      <c r="G83" s="168"/>
      <c r="H83" s="168"/>
      <c r="I83" s="168"/>
      <c r="J83" s="168"/>
      <c r="K83" s="196"/>
    </row>
    <row r="84" spans="1:11" ht="14.25">
      <c r="A84" s="143">
        <v>1837</v>
      </c>
      <c r="B84" s="168"/>
      <c r="C84" s="168">
        <v>0.9</v>
      </c>
      <c r="D84" s="168">
        <v>1.9</v>
      </c>
      <c r="E84" s="168"/>
      <c r="F84" s="168"/>
      <c r="G84" s="168"/>
      <c r="H84" s="168"/>
      <c r="I84" s="168"/>
      <c r="J84" s="168"/>
      <c r="K84" s="196"/>
    </row>
    <row r="85" spans="1:11" ht="14.25">
      <c r="A85" s="143">
        <v>1838</v>
      </c>
      <c r="B85" s="168"/>
      <c r="C85" s="168"/>
      <c r="D85" s="168"/>
      <c r="E85" s="168"/>
      <c r="F85" s="168"/>
      <c r="G85" s="168"/>
      <c r="H85" s="168"/>
      <c r="I85" s="168"/>
      <c r="J85" s="168"/>
      <c r="K85" s="196"/>
    </row>
    <row r="86" spans="1:11" ht="14.25">
      <c r="A86" s="143">
        <v>1839</v>
      </c>
      <c r="B86" s="168"/>
      <c r="C86" s="168">
        <v>1</v>
      </c>
      <c r="D86" s="168">
        <v>1.8</v>
      </c>
      <c r="E86" s="168"/>
      <c r="F86" s="168"/>
      <c r="G86" s="168"/>
      <c r="H86" s="168"/>
      <c r="I86" s="168"/>
      <c r="J86" s="196"/>
      <c r="K86" s="196"/>
    </row>
    <row r="87" spans="1:11" ht="14.25">
      <c r="A87" s="143">
        <v>1840</v>
      </c>
      <c r="B87" s="168"/>
      <c r="C87" s="168">
        <v>0.3</v>
      </c>
      <c r="D87" s="168">
        <v>0.5</v>
      </c>
      <c r="E87" s="168"/>
      <c r="F87" s="168"/>
      <c r="G87" s="168"/>
      <c r="H87" s="168"/>
      <c r="I87" s="168"/>
      <c r="J87" s="196"/>
      <c r="K87" s="196"/>
    </row>
    <row r="88" spans="1:11" ht="14.25">
      <c r="A88" s="143">
        <v>1841</v>
      </c>
      <c r="B88" s="168"/>
      <c r="C88" s="168">
        <v>0.3</v>
      </c>
      <c r="D88" s="168">
        <v>0.6</v>
      </c>
      <c r="E88" s="168"/>
      <c r="F88" s="168"/>
      <c r="G88" s="168"/>
      <c r="H88" s="168"/>
      <c r="I88" s="168"/>
      <c r="J88" s="196"/>
      <c r="K88" s="196"/>
    </row>
    <row r="89" spans="1:11" ht="14.25">
      <c r="A89" s="143">
        <v>1842</v>
      </c>
      <c r="B89" s="168"/>
      <c r="C89" s="168">
        <v>0.3</v>
      </c>
      <c r="D89" s="168">
        <v>0.5</v>
      </c>
      <c r="E89" s="168"/>
      <c r="F89" s="168"/>
      <c r="G89" s="168"/>
      <c r="H89" s="168"/>
      <c r="I89" s="168"/>
      <c r="J89" s="196"/>
      <c r="K89" s="196"/>
    </row>
    <row r="90" spans="1:11" ht="14.25">
      <c r="A90" s="143">
        <v>1843</v>
      </c>
      <c r="B90" s="168"/>
      <c r="C90" s="168">
        <v>0.25</v>
      </c>
      <c r="D90" s="168">
        <v>0.4</v>
      </c>
      <c r="E90" s="168"/>
      <c r="F90" s="168"/>
      <c r="G90" s="168"/>
      <c r="H90" s="168"/>
      <c r="I90" s="168"/>
      <c r="J90" s="196"/>
      <c r="K90" s="196"/>
    </row>
    <row r="91" spans="1:11" ht="14.25">
      <c r="A91" s="143">
        <v>1844</v>
      </c>
      <c r="B91" s="168"/>
      <c r="C91" s="168">
        <v>0.33</v>
      </c>
      <c r="D91" s="168">
        <v>0.5</v>
      </c>
      <c r="E91" s="168"/>
      <c r="F91" s="168"/>
      <c r="G91" s="168"/>
      <c r="H91" s="168"/>
      <c r="I91" s="168"/>
      <c r="J91" s="196"/>
      <c r="K91" s="196"/>
    </row>
    <row r="92" spans="1:11" ht="14.25">
      <c r="A92" s="143">
        <v>1845</v>
      </c>
      <c r="B92" s="168"/>
      <c r="C92" s="168">
        <v>0.3</v>
      </c>
      <c r="D92" s="168">
        <v>0.65</v>
      </c>
      <c r="E92" s="168"/>
      <c r="F92" s="168"/>
      <c r="G92" s="168"/>
      <c r="H92" s="168"/>
      <c r="I92" s="168"/>
      <c r="J92" s="196"/>
      <c r="K92" s="196"/>
    </row>
    <row r="93" spans="1:11" ht="14.25">
      <c r="A93" s="143">
        <v>1846</v>
      </c>
      <c r="B93" s="168"/>
      <c r="C93" s="168">
        <v>0.25</v>
      </c>
      <c r="D93" s="168">
        <v>0.45</v>
      </c>
      <c r="E93" s="168"/>
      <c r="F93" s="168"/>
      <c r="G93" s="168"/>
      <c r="H93" s="168"/>
      <c r="I93" s="168"/>
      <c r="J93" s="196"/>
      <c r="K93" s="196"/>
    </row>
    <row r="94" spans="1:11" ht="14.25">
      <c r="A94" s="143">
        <v>1847</v>
      </c>
      <c r="B94" s="168"/>
      <c r="C94" s="168">
        <v>0.35</v>
      </c>
      <c r="D94" s="168">
        <v>0.65</v>
      </c>
      <c r="E94" s="168"/>
      <c r="F94" s="168"/>
      <c r="G94" s="168"/>
      <c r="H94" s="168"/>
      <c r="I94" s="168"/>
      <c r="J94" s="196"/>
      <c r="K94" s="196"/>
    </row>
    <row r="95" spans="1:11" ht="14.25">
      <c r="A95" s="143">
        <v>1848</v>
      </c>
      <c r="B95" s="168"/>
      <c r="C95" s="168">
        <v>0.25</v>
      </c>
      <c r="D95" s="168">
        <v>0.5</v>
      </c>
      <c r="E95" s="168"/>
      <c r="F95" s="168"/>
      <c r="G95" s="168"/>
      <c r="H95" s="168"/>
      <c r="I95" s="168"/>
      <c r="J95" s="196"/>
      <c r="K95" s="196"/>
    </row>
    <row r="96" spans="1:11" ht="14.25">
      <c r="A96" s="143">
        <v>1849</v>
      </c>
      <c r="B96" s="168"/>
      <c r="C96" s="168">
        <v>0.25</v>
      </c>
      <c r="D96" s="168">
        <v>0.45</v>
      </c>
      <c r="E96" s="168"/>
      <c r="F96" s="168"/>
      <c r="G96" s="168"/>
      <c r="H96" s="168"/>
      <c r="I96" s="168"/>
      <c r="J96" s="196"/>
      <c r="K96" s="196"/>
    </row>
    <row r="97" spans="1:11" ht="14.25">
      <c r="A97" s="143">
        <v>1850</v>
      </c>
      <c r="B97" s="168"/>
      <c r="C97" s="168">
        <v>0.25</v>
      </c>
      <c r="D97" s="168">
        <v>0.4</v>
      </c>
      <c r="E97" s="168"/>
      <c r="F97" s="168"/>
      <c r="G97" s="168"/>
      <c r="H97" s="168"/>
      <c r="I97" s="168"/>
      <c r="J97" s="196"/>
      <c r="K97" s="196"/>
    </row>
    <row r="98" spans="1:11" ht="14.25">
      <c r="A98" s="143">
        <v>1851</v>
      </c>
      <c r="B98" s="168"/>
      <c r="C98" s="168">
        <v>0.25</v>
      </c>
      <c r="D98" s="168">
        <v>0.4</v>
      </c>
      <c r="E98" s="168"/>
      <c r="F98" s="168"/>
      <c r="G98" s="168"/>
      <c r="H98" s="168"/>
      <c r="I98" s="168"/>
      <c r="J98" s="196"/>
      <c r="K98" s="196"/>
    </row>
    <row r="99" spans="1:11" ht="14.25">
      <c r="A99" s="143">
        <v>1852</v>
      </c>
      <c r="B99" s="168"/>
      <c r="C99" s="168">
        <v>0.25</v>
      </c>
      <c r="D99" s="168">
        <v>0.5</v>
      </c>
      <c r="E99" s="168"/>
      <c r="F99" s="168"/>
      <c r="G99" s="168"/>
      <c r="H99" s="168"/>
      <c r="I99" s="168"/>
      <c r="J99" s="196"/>
      <c r="K99" s="196"/>
    </row>
    <row r="100" spans="1:11" ht="14.25">
      <c r="A100" s="143">
        <v>1853</v>
      </c>
      <c r="B100" s="168"/>
      <c r="C100" s="168">
        <v>0.25</v>
      </c>
      <c r="D100" s="168">
        <v>0.45</v>
      </c>
      <c r="E100" s="168"/>
      <c r="F100" s="168"/>
      <c r="G100" s="168"/>
      <c r="H100" s="168"/>
      <c r="I100" s="168"/>
      <c r="J100" s="196"/>
      <c r="K100" s="196"/>
    </row>
    <row r="101" spans="1:11" ht="14.25">
      <c r="A101" s="143">
        <v>1854</v>
      </c>
      <c r="B101" s="168">
        <v>18.348706760678269</v>
      </c>
      <c r="C101" s="168">
        <v>0.25</v>
      </c>
      <c r="D101" s="168">
        <v>0.45</v>
      </c>
      <c r="E101" s="194">
        <f t="shared" ref="E101:E102" si="4">B101*3</f>
        <v>55.046120282034806</v>
      </c>
      <c r="F101" s="198">
        <f>C101*250/E101</f>
        <v>1.1354115363585013</v>
      </c>
      <c r="G101" s="168">
        <f>D101*250/E101</f>
        <v>2.0437407654453024</v>
      </c>
      <c r="H101" s="168">
        <f>E101/C101</f>
        <v>220.18448112813923</v>
      </c>
      <c r="I101" s="168">
        <f>E101/D101</f>
        <v>122.32471173785513</v>
      </c>
      <c r="J101" s="196">
        <v>0.4</v>
      </c>
      <c r="K101" s="168">
        <v>0.6</v>
      </c>
    </row>
    <row r="102" spans="1:11" ht="14.25">
      <c r="A102" s="143">
        <v>1855</v>
      </c>
      <c r="B102" s="168">
        <v>18.452094796880097</v>
      </c>
      <c r="C102" s="168">
        <v>0.3</v>
      </c>
      <c r="D102" s="168">
        <v>0.5</v>
      </c>
      <c r="E102" s="194">
        <f t="shared" si="4"/>
        <v>55.35628439064029</v>
      </c>
      <c r="F102" s="198">
        <f>C102*250/E102</f>
        <v>1.3548597205465815</v>
      </c>
      <c r="G102" s="168">
        <f>D102*250/E102</f>
        <v>2.2580995342443027</v>
      </c>
      <c r="H102" s="168">
        <f>E102/C102</f>
        <v>184.52094796880098</v>
      </c>
      <c r="I102" s="168">
        <f>E102/D102</f>
        <v>110.71256878128058</v>
      </c>
      <c r="J102" s="196">
        <v>0.45</v>
      </c>
      <c r="K102" s="168">
        <v>0.55000000000000004</v>
      </c>
    </row>
    <row r="103" spans="1:11" ht="14.25">
      <c r="A103" s="143">
        <v>1856</v>
      </c>
      <c r="B103" s="168"/>
      <c r="C103" s="168">
        <v>0.3</v>
      </c>
      <c r="D103" s="168">
        <v>0.6</v>
      </c>
      <c r="E103" s="194"/>
      <c r="F103" s="198"/>
      <c r="G103" s="168"/>
      <c r="H103" s="168"/>
      <c r="I103" s="168"/>
      <c r="J103" s="196"/>
      <c r="K103" s="168"/>
    </row>
    <row r="104" spans="1:11" ht="14.25">
      <c r="A104" s="143">
        <v>1857</v>
      </c>
      <c r="B104" s="168"/>
      <c r="C104" s="168"/>
      <c r="D104" s="168"/>
      <c r="E104" s="168"/>
      <c r="F104" s="168"/>
      <c r="G104" s="168"/>
      <c r="H104" s="168"/>
      <c r="I104" s="168"/>
      <c r="J104" s="196"/>
      <c r="K104" s="168"/>
    </row>
    <row r="105" spans="1:11" ht="14.25">
      <c r="A105" s="143">
        <v>1858</v>
      </c>
      <c r="B105" s="168"/>
      <c r="C105" s="168">
        <v>0.4</v>
      </c>
      <c r="D105" s="168">
        <v>0.8</v>
      </c>
      <c r="E105" s="168"/>
      <c r="F105" s="168"/>
      <c r="G105" s="168"/>
      <c r="H105" s="168"/>
      <c r="I105" s="168"/>
      <c r="J105" s="196"/>
      <c r="K105" s="168"/>
    </row>
    <row r="106" spans="1:11" ht="14.25">
      <c r="A106" s="143">
        <v>1859</v>
      </c>
      <c r="B106" s="168">
        <v>22.558937049109325</v>
      </c>
      <c r="C106" s="168">
        <v>0.5</v>
      </c>
      <c r="D106" s="168">
        <v>0.85</v>
      </c>
      <c r="E106" s="194">
        <f t="shared" ref="E106" si="5">B106*3</f>
        <v>67.676811147327982</v>
      </c>
      <c r="F106" s="198">
        <f>C106*250/E106</f>
        <v>1.8470137389878372</v>
      </c>
      <c r="G106" s="168">
        <f>D106*250/E106</f>
        <v>3.1399233562793234</v>
      </c>
      <c r="H106" s="168">
        <f>E106/C106</f>
        <v>135.35362229465596</v>
      </c>
      <c r="I106" s="168">
        <f>E106/D106</f>
        <v>79.619777820385863</v>
      </c>
      <c r="J106" s="196">
        <v>0.6</v>
      </c>
      <c r="K106" s="168">
        <v>1.3</v>
      </c>
    </row>
    <row r="107" spans="1:11" ht="14.25">
      <c r="A107" s="143">
        <v>1860</v>
      </c>
      <c r="B107" s="168"/>
      <c r="C107" s="168">
        <v>0.5</v>
      </c>
      <c r="D107" s="168">
        <v>0.9</v>
      </c>
      <c r="E107" s="168"/>
      <c r="F107" s="168"/>
      <c r="G107" s="168"/>
      <c r="H107" s="168"/>
      <c r="I107" s="168"/>
      <c r="J107" s="196"/>
      <c r="K107" s="168"/>
    </row>
    <row r="108" spans="1:11" ht="14.25">
      <c r="A108" s="143">
        <v>1861</v>
      </c>
      <c r="B108" s="168"/>
      <c r="C108" s="168">
        <v>0.6</v>
      </c>
      <c r="D108" s="168">
        <v>1</v>
      </c>
      <c r="E108" s="168"/>
      <c r="F108" s="168"/>
      <c r="G108" s="168"/>
      <c r="H108" s="168"/>
      <c r="I108" s="168"/>
      <c r="J108" s="196"/>
      <c r="K108" s="168"/>
    </row>
    <row r="109" spans="1:11" ht="14.25">
      <c r="A109" s="143">
        <v>1862</v>
      </c>
      <c r="B109" s="168"/>
      <c r="C109" s="168"/>
      <c r="D109" s="168"/>
      <c r="E109" s="168"/>
      <c r="F109" s="168"/>
      <c r="G109" s="168"/>
      <c r="H109" s="168"/>
      <c r="I109" s="168"/>
      <c r="J109" s="196"/>
      <c r="K109" s="168"/>
    </row>
    <row r="110" spans="1:11" ht="14.25">
      <c r="A110" s="143">
        <v>1863</v>
      </c>
      <c r="B110" s="168"/>
      <c r="C110" s="168">
        <v>0.7</v>
      </c>
      <c r="D110" s="168">
        <v>1</v>
      </c>
      <c r="E110" s="168"/>
      <c r="F110" s="168"/>
      <c r="G110" s="168"/>
      <c r="H110" s="168"/>
      <c r="I110" s="168"/>
      <c r="J110" s="196"/>
      <c r="K110" s="168"/>
    </row>
    <row r="111" spans="1:11" ht="14.25">
      <c r="A111" s="143">
        <v>1864</v>
      </c>
      <c r="B111" s="168"/>
      <c r="C111" s="168">
        <v>0.75</v>
      </c>
      <c r="D111" s="168">
        <v>1</v>
      </c>
      <c r="E111" s="168"/>
      <c r="F111" s="168"/>
      <c r="G111" s="168"/>
      <c r="H111" s="168"/>
      <c r="I111" s="168"/>
      <c r="J111" s="196"/>
      <c r="K111" s="168"/>
    </row>
    <row r="112" spans="1:11" ht="14.25">
      <c r="A112" s="143">
        <v>1865</v>
      </c>
      <c r="B112" s="168">
        <v>19.804826639960385</v>
      </c>
      <c r="C112" s="168">
        <v>0.75</v>
      </c>
      <c r="D112" s="168">
        <v>1.1000000000000001</v>
      </c>
      <c r="E112" s="194">
        <f t="shared" ref="E112:E114" si="6">B112*3</f>
        <v>59.41447991988116</v>
      </c>
      <c r="F112" s="198">
        <f>C112*250/E112</f>
        <v>3.1557963690473896</v>
      </c>
      <c r="G112" s="168">
        <f>D112*250/E112</f>
        <v>4.6285013412695051</v>
      </c>
      <c r="H112" s="168">
        <f>E112/C112</f>
        <v>79.219306559841542</v>
      </c>
      <c r="I112" s="168">
        <f>E112/D112</f>
        <v>54.013163563528323</v>
      </c>
      <c r="J112" s="196">
        <v>1</v>
      </c>
      <c r="K112" s="168">
        <v>1.5</v>
      </c>
    </row>
    <row r="113" spans="1:11" ht="14.25">
      <c r="A113" s="143">
        <v>1866</v>
      </c>
      <c r="B113" s="168">
        <v>26.862015264837307</v>
      </c>
      <c r="C113" s="168">
        <v>0.7</v>
      </c>
      <c r="D113" s="168">
        <v>1.1000000000000001</v>
      </c>
      <c r="E113" s="194">
        <f t="shared" si="6"/>
        <v>80.586045794511918</v>
      </c>
      <c r="F113" s="198">
        <f>C113*250/E113</f>
        <v>2.1715918466360322</v>
      </c>
      <c r="G113" s="168">
        <f>D113*250/E113</f>
        <v>3.4125014732851935</v>
      </c>
      <c r="H113" s="168">
        <f>E113/C113</f>
        <v>115.12292256358846</v>
      </c>
      <c r="I113" s="168">
        <f>E113/D113</f>
        <v>73.260041631374463</v>
      </c>
      <c r="J113" s="196">
        <v>1</v>
      </c>
      <c r="K113" s="168">
        <v>1.5</v>
      </c>
    </row>
    <row r="114" spans="1:11" ht="14.25">
      <c r="A114" s="143">
        <v>1867</v>
      </c>
      <c r="B114" s="168">
        <v>26.835347757052695</v>
      </c>
      <c r="C114" s="168">
        <v>0.7</v>
      </c>
      <c r="D114" s="168">
        <v>1.1000000000000001</v>
      </c>
      <c r="E114" s="194">
        <f t="shared" si="6"/>
        <v>80.506043271158092</v>
      </c>
      <c r="F114" s="198">
        <f>C114*250/E114</f>
        <v>2.1737498563998496</v>
      </c>
      <c r="G114" s="168">
        <f>D114*250/E114</f>
        <v>3.4158926314854785</v>
      </c>
      <c r="H114" s="168">
        <f>E114/C114</f>
        <v>115.00863324451157</v>
      </c>
      <c r="I114" s="168">
        <f>E114/D114</f>
        <v>73.187312064689166</v>
      </c>
      <c r="J114" s="196">
        <v>1</v>
      </c>
      <c r="K114" s="168">
        <v>1.5</v>
      </c>
    </row>
    <row r="115" spans="1:11" ht="14.25">
      <c r="A115" s="143">
        <v>1868</v>
      </c>
      <c r="B115" s="168">
        <v>27.728652961021933</v>
      </c>
      <c r="C115" s="168"/>
      <c r="D115" s="168"/>
      <c r="E115" s="168"/>
      <c r="F115" s="168"/>
      <c r="G115" s="168"/>
      <c r="H115" s="168"/>
      <c r="I115" s="168"/>
      <c r="J115" s="196"/>
      <c r="K115" s="168"/>
    </row>
    <row r="116" spans="1:11" ht="14.25">
      <c r="A116" s="143">
        <v>1869</v>
      </c>
      <c r="B116" s="168">
        <v>27.748413604991157</v>
      </c>
      <c r="C116" s="168"/>
      <c r="D116" s="168"/>
      <c r="E116" s="168"/>
      <c r="F116" s="168"/>
      <c r="G116" s="168"/>
      <c r="H116" s="168"/>
      <c r="I116" s="168"/>
      <c r="J116" s="168"/>
      <c r="K116" s="168"/>
    </row>
    <row r="117" spans="1:11" ht="14.25">
      <c r="A117" s="143">
        <v>1870</v>
      </c>
      <c r="B117" s="168">
        <v>27.460942988960387</v>
      </c>
      <c r="C117" s="168"/>
      <c r="D117" s="168"/>
      <c r="E117" s="168"/>
      <c r="F117" s="168"/>
      <c r="G117" s="168"/>
      <c r="H117" s="168"/>
      <c r="I117" s="168"/>
      <c r="J117" s="168"/>
      <c r="K117" s="168"/>
    </row>
    <row r="118" spans="1:11" ht="14.25">
      <c r="A118" s="143">
        <v>1871</v>
      </c>
      <c r="B118" s="168">
        <v>29.942273016629617</v>
      </c>
      <c r="C118" s="168">
        <v>0.87083330000000003</v>
      </c>
      <c r="D118" s="168">
        <v>1.17</v>
      </c>
      <c r="E118" s="194">
        <f t="shared" ref="E118:E121" si="7">B118*3</f>
        <v>89.826819049888854</v>
      </c>
      <c r="F118" s="198">
        <f t="shared" ref="F118:F121" si="8">C118*250/E118</f>
        <v>2.4236450461313468</v>
      </c>
      <c r="G118" s="168">
        <f t="shared" ref="G118:G121" si="9">D118*250/E118</f>
        <v>3.2562658134153524</v>
      </c>
      <c r="H118" s="168">
        <f t="shared" ref="H118:H121" si="10">E118/C118</f>
        <v>103.15041816830943</v>
      </c>
      <c r="I118" s="168">
        <f t="shared" ref="I118:I121" si="11">E118/D118</f>
        <v>76.775059016999023</v>
      </c>
      <c r="J118" s="168">
        <v>0.9</v>
      </c>
      <c r="K118" s="168">
        <v>1.5</v>
      </c>
    </row>
    <row r="119" spans="1:11" ht="14.25">
      <c r="A119" s="143">
        <v>1872</v>
      </c>
      <c r="B119" s="168">
        <v>27.706159583523078</v>
      </c>
      <c r="C119" s="168">
        <v>0.80625000000000002</v>
      </c>
      <c r="D119" s="168">
        <v>1.2041667</v>
      </c>
      <c r="E119" s="194">
        <f t="shared" si="7"/>
        <v>83.118478750569238</v>
      </c>
      <c r="F119" s="198">
        <f t="shared" si="8"/>
        <v>2.4250022742219595</v>
      </c>
      <c r="G119" s="168">
        <f t="shared" si="9"/>
        <v>3.621838122223072</v>
      </c>
      <c r="H119" s="168">
        <f t="shared" si="10"/>
        <v>103.09268682241145</v>
      </c>
      <c r="I119" s="168">
        <f t="shared" si="11"/>
        <v>69.025724387303882</v>
      </c>
      <c r="J119" s="168">
        <v>1.1000000000000001</v>
      </c>
      <c r="K119" s="168">
        <v>1.6</v>
      </c>
    </row>
    <row r="120" spans="1:11" ht="14.25">
      <c r="A120" s="143">
        <v>1873</v>
      </c>
      <c r="B120" s="168">
        <v>11.868937893340096</v>
      </c>
      <c r="C120" s="168">
        <v>0.75416669999999997</v>
      </c>
      <c r="D120" s="168">
        <v>1.1625000000000001</v>
      </c>
      <c r="E120" s="194">
        <f t="shared" si="7"/>
        <v>35.606813680020288</v>
      </c>
      <c r="F120" s="198">
        <f t="shared" si="8"/>
        <v>5.2951010077544396</v>
      </c>
      <c r="G120" s="168">
        <f t="shared" si="9"/>
        <v>8.1620614136298197</v>
      </c>
      <c r="H120" s="168">
        <f t="shared" si="10"/>
        <v>47.213452516559386</v>
      </c>
      <c r="I120" s="168">
        <f t="shared" si="11"/>
        <v>30.62951714410347</v>
      </c>
      <c r="J120" s="168">
        <v>1.2</v>
      </c>
      <c r="K120" s="168">
        <v>1.7</v>
      </c>
    </row>
    <row r="121" spans="1:11" ht="14.25">
      <c r="A121" s="143">
        <v>1874</v>
      </c>
      <c r="B121" s="168">
        <v>31.512213573017021</v>
      </c>
      <c r="C121" s="168">
        <v>0.86458330000000005</v>
      </c>
      <c r="D121" s="168">
        <v>1.1499999999999999</v>
      </c>
      <c r="E121" s="194">
        <f t="shared" si="7"/>
        <v>94.536640719051064</v>
      </c>
      <c r="F121" s="198">
        <f t="shared" si="8"/>
        <v>2.2863709071528517</v>
      </c>
      <c r="G121" s="168">
        <f t="shared" si="9"/>
        <v>3.0411488901367623</v>
      </c>
      <c r="H121" s="168">
        <f t="shared" si="10"/>
        <v>109.34358866178778</v>
      </c>
      <c r="I121" s="168">
        <f t="shared" si="11"/>
        <v>82.205774538305278</v>
      </c>
      <c r="J121" s="168">
        <v>1.1000000000000001</v>
      </c>
      <c r="K121" s="168">
        <v>1.5</v>
      </c>
    </row>
    <row r="122" spans="1:11">
      <c r="B122" s="99"/>
      <c r="C122" s="99"/>
      <c r="J122" s="68"/>
      <c r="K122" s="68"/>
    </row>
  </sheetData>
  <hyperlinks>
    <hyperlink ref="U3" location="_ftn1" display="_ftn1" xr:uid="{00000000-0004-0000-0B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3"/>
  <sheetViews>
    <sheetView workbookViewId="0">
      <selection activeCell="D14" sqref="D14"/>
    </sheetView>
  </sheetViews>
  <sheetFormatPr defaultRowHeight="14.25"/>
  <cols>
    <col min="1" max="1" width="12" customWidth="1"/>
    <col min="2" max="2" width="11.06640625" customWidth="1"/>
    <col min="3" max="3" width="28.46484375" customWidth="1"/>
    <col min="4" max="4" width="23.796875" customWidth="1"/>
    <col min="5" max="5" width="11.33203125" customWidth="1"/>
    <col min="6" max="6" width="10.9296875" customWidth="1"/>
    <col min="7" max="7" width="11.9296875" customWidth="1"/>
    <col min="8" max="8" width="14.33203125" customWidth="1"/>
    <col min="11" max="11" width="37.06640625" customWidth="1"/>
    <col min="14" max="14" width="10.46484375" customWidth="1"/>
    <col min="15" max="15" width="10.59765625" customWidth="1"/>
    <col min="18" max="18" width="15" customWidth="1"/>
  </cols>
  <sheetData>
    <row r="1" spans="1:20">
      <c r="K1" t="s">
        <v>259</v>
      </c>
    </row>
    <row r="2" spans="1:20" ht="28.5">
      <c r="A2" s="3"/>
      <c r="B2" s="3" t="s">
        <v>152</v>
      </c>
      <c r="C2" s="3" t="s">
        <v>267</v>
      </c>
      <c r="D2" s="3" t="s">
        <v>153</v>
      </c>
      <c r="E2" s="3" t="s">
        <v>154</v>
      </c>
      <c r="F2" s="3" t="s">
        <v>155</v>
      </c>
      <c r="G2" s="3" t="s">
        <v>9</v>
      </c>
      <c r="H2" s="3" t="s">
        <v>156</v>
      </c>
      <c r="K2" s="3"/>
      <c r="L2" s="3" t="s">
        <v>631</v>
      </c>
      <c r="M2" s="3" t="s">
        <v>632</v>
      </c>
      <c r="N2" s="3" t="s">
        <v>633</v>
      </c>
      <c r="O2" s="3" t="s">
        <v>634</v>
      </c>
      <c r="P2" s="3" t="s">
        <v>635</v>
      </c>
      <c r="Q2" s="3" t="s">
        <v>474</v>
      </c>
      <c r="R2" s="3" t="s">
        <v>636</v>
      </c>
    </row>
    <row r="3" spans="1:20" ht="28.5">
      <c r="A3" s="3" t="s">
        <v>261</v>
      </c>
      <c r="B3" s="3">
        <v>60</v>
      </c>
      <c r="C3" s="3">
        <v>1</v>
      </c>
      <c r="D3" s="6">
        <v>16</v>
      </c>
      <c r="E3" s="6">
        <v>10</v>
      </c>
      <c r="F3" s="6">
        <v>24</v>
      </c>
      <c r="G3" s="6">
        <v>50</v>
      </c>
      <c r="H3" s="3" t="s">
        <v>260</v>
      </c>
      <c r="K3" s="3" t="s">
        <v>637</v>
      </c>
      <c r="L3" s="3">
        <v>60</v>
      </c>
      <c r="M3" s="3">
        <v>1</v>
      </c>
      <c r="N3" s="6">
        <v>16</v>
      </c>
      <c r="O3" s="6">
        <v>10</v>
      </c>
      <c r="P3" s="6">
        <v>24</v>
      </c>
      <c r="Q3" s="6">
        <v>50</v>
      </c>
      <c r="R3" s="3" t="s">
        <v>638</v>
      </c>
    </row>
    <row r="4" spans="1:20" ht="28.5">
      <c r="A4" s="3" t="s">
        <v>157</v>
      </c>
      <c r="B4" s="3">
        <v>24</v>
      </c>
      <c r="C4" s="3">
        <v>1</v>
      </c>
      <c r="D4" s="6">
        <v>30</v>
      </c>
      <c r="E4" s="6">
        <v>26</v>
      </c>
      <c r="F4" s="6">
        <v>24</v>
      </c>
      <c r="G4" s="6">
        <v>80</v>
      </c>
      <c r="H4" s="3" t="s">
        <v>158</v>
      </c>
      <c r="K4" s="3" t="s">
        <v>639</v>
      </c>
      <c r="L4" s="3">
        <v>24</v>
      </c>
      <c r="M4" s="3">
        <v>1</v>
      </c>
      <c r="N4" s="6">
        <v>30</v>
      </c>
      <c r="O4" s="6">
        <v>26</v>
      </c>
      <c r="P4" s="6">
        <v>24</v>
      </c>
      <c r="Q4" s="6">
        <v>80</v>
      </c>
      <c r="R4" s="3" t="s">
        <v>640</v>
      </c>
    </row>
    <row r="5" spans="1:20" ht="28.5">
      <c r="A5" s="3" t="s">
        <v>159</v>
      </c>
      <c r="B5" s="3">
        <v>28</v>
      </c>
      <c r="C5" s="3">
        <v>1</v>
      </c>
      <c r="D5" s="6">
        <v>12</v>
      </c>
      <c r="E5" s="6"/>
      <c r="F5" s="6">
        <v>18</v>
      </c>
      <c r="G5" s="6">
        <v>30</v>
      </c>
      <c r="H5" s="3" t="s">
        <v>160</v>
      </c>
      <c r="K5" s="3" t="s">
        <v>641</v>
      </c>
      <c r="L5" s="3">
        <v>28</v>
      </c>
      <c r="M5" s="3">
        <v>1</v>
      </c>
      <c r="N5" s="6">
        <v>12</v>
      </c>
      <c r="O5" s="6"/>
      <c r="P5" s="6">
        <v>18</v>
      </c>
      <c r="Q5" s="6">
        <v>30</v>
      </c>
      <c r="R5" s="3" t="s">
        <v>642</v>
      </c>
    </row>
    <row r="6" spans="1:20">
      <c r="A6" s="3" t="s">
        <v>161</v>
      </c>
      <c r="B6" s="3">
        <v>19</v>
      </c>
      <c r="C6" s="3">
        <v>1</v>
      </c>
      <c r="D6" s="6">
        <v>12</v>
      </c>
      <c r="E6" s="6"/>
      <c r="F6" s="6">
        <v>18</v>
      </c>
      <c r="G6" s="6"/>
      <c r="H6" s="3" t="s">
        <v>162</v>
      </c>
      <c r="K6" s="3" t="s">
        <v>643</v>
      </c>
      <c r="L6" s="3">
        <v>19</v>
      </c>
      <c r="M6" s="3">
        <v>1</v>
      </c>
      <c r="N6" s="6">
        <v>12</v>
      </c>
      <c r="O6" s="6"/>
      <c r="P6" s="6">
        <v>18</v>
      </c>
      <c r="Q6" s="6"/>
      <c r="R6" s="3" t="s">
        <v>644</v>
      </c>
    </row>
    <row r="7" spans="1:20" ht="28.5">
      <c r="A7" s="3" t="s">
        <v>163</v>
      </c>
      <c r="B7" s="3">
        <v>20</v>
      </c>
      <c r="C7" s="3">
        <v>1</v>
      </c>
      <c r="D7" s="6">
        <v>10</v>
      </c>
      <c r="E7" s="6"/>
      <c r="F7" s="6">
        <v>18</v>
      </c>
      <c r="G7" s="6"/>
      <c r="H7" s="3" t="s">
        <v>162</v>
      </c>
      <c r="K7" s="3" t="s">
        <v>645</v>
      </c>
      <c r="L7" s="3">
        <v>20</v>
      </c>
      <c r="M7" s="3">
        <v>1</v>
      </c>
      <c r="N7" s="6">
        <v>10</v>
      </c>
      <c r="O7" s="6"/>
      <c r="P7" s="6">
        <v>18</v>
      </c>
      <c r="Q7" s="6"/>
      <c r="R7" s="3" t="s">
        <v>644</v>
      </c>
    </row>
    <row r="8" spans="1:20" ht="28.5">
      <c r="A8" s="3" t="s">
        <v>164</v>
      </c>
      <c r="B8" s="3">
        <v>21</v>
      </c>
      <c r="C8" s="3">
        <v>1</v>
      </c>
      <c r="D8" s="6">
        <v>10</v>
      </c>
      <c r="E8" s="6"/>
      <c r="F8" s="6">
        <v>18</v>
      </c>
      <c r="G8" s="6">
        <v>28</v>
      </c>
      <c r="H8" s="3" t="s">
        <v>165</v>
      </c>
      <c r="K8" s="3" t="s">
        <v>646</v>
      </c>
      <c r="L8" s="3">
        <v>21</v>
      </c>
      <c r="M8" s="3">
        <v>1</v>
      </c>
      <c r="N8" s="6">
        <v>10</v>
      </c>
      <c r="O8" s="6"/>
      <c r="P8" s="6">
        <v>18</v>
      </c>
      <c r="Q8" s="6">
        <v>28</v>
      </c>
      <c r="R8" s="3" t="s">
        <v>647</v>
      </c>
    </row>
    <row r="9" spans="1:20" ht="42.75">
      <c r="A9" s="3" t="s">
        <v>166</v>
      </c>
      <c r="B9" s="3">
        <v>16</v>
      </c>
      <c r="C9" s="3">
        <v>1</v>
      </c>
      <c r="D9" s="6">
        <v>7</v>
      </c>
      <c r="E9" s="6"/>
      <c r="F9" s="6">
        <v>18</v>
      </c>
      <c r="G9" s="6">
        <v>25</v>
      </c>
      <c r="H9" s="3" t="s">
        <v>167</v>
      </c>
      <c r="K9" s="3" t="s">
        <v>648</v>
      </c>
      <c r="L9" s="3">
        <v>16</v>
      </c>
      <c r="M9" s="3">
        <v>1</v>
      </c>
      <c r="N9" s="6">
        <v>7</v>
      </c>
      <c r="O9" s="6"/>
      <c r="P9" s="6">
        <v>18</v>
      </c>
      <c r="Q9" s="6">
        <v>25</v>
      </c>
      <c r="R9" s="3" t="s">
        <v>649</v>
      </c>
    </row>
    <row r="10" spans="1:20" ht="28.5">
      <c r="A10" s="3" t="s">
        <v>168</v>
      </c>
      <c r="B10" s="3">
        <v>14</v>
      </c>
      <c r="C10" s="3">
        <v>1</v>
      </c>
      <c r="D10" s="6">
        <v>7</v>
      </c>
      <c r="E10" s="6"/>
      <c r="F10" s="6">
        <v>18</v>
      </c>
      <c r="G10" s="6">
        <v>25</v>
      </c>
      <c r="H10" s="3" t="s">
        <v>167</v>
      </c>
      <c r="K10" s="3" t="s">
        <v>650</v>
      </c>
      <c r="L10" s="3">
        <v>14</v>
      </c>
      <c r="M10" s="3">
        <v>1</v>
      </c>
      <c r="N10" s="6">
        <v>7</v>
      </c>
      <c r="O10" s="6"/>
      <c r="P10" s="6">
        <v>18</v>
      </c>
      <c r="Q10" s="6">
        <v>25</v>
      </c>
      <c r="R10" s="3" t="s">
        <v>649</v>
      </c>
    </row>
    <row r="11" spans="1:20" ht="71.25">
      <c r="A11" s="3" t="s">
        <v>169</v>
      </c>
      <c r="B11" s="3">
        <v>48</v>
      </c>
      <c r="C11" s="3">
        <v>3</v>
      </c>
      <c r="D11" s="6">
        <v>8</v>
      </c>
      <c r="E11" s="6"/>
      <c r="F11" s="6">
        <v>36</v>
      </c>
      <c r="G11" s="6">
        <v>44</v>
      </c>
      <c r="H11" s="3" t="s">
        <v>170</v>
      </c>
      <c r="K11" s="3" t="s">
        <v>651</v>
      </c>
      <c r="L11" s="3">
        <v>48</v>
      </c>
      <c r="M11" s="3">
        <v>3</v>
      </c>
      <c r="N11" s="6">
        <v>8</v>
      </c>
      <c r="O11" s="6"/>
      <c r="P11" s="6">
        <v>36</v>
      </c>
      <c r="Q11" s="6">
        <v>44</v>
      </c>
      <c r="R11" s="3" t="s">
        <v>652</v>
      </c>
      <c r="T11" t="s">
        <v>269</v>
      </c>
    </row>
    <row r="12" spans="1:20">
      <c r="A12" s="3" t="s">
        <v>171</v>
      </c>
      <c r="B12" s="3">
        <v>42</v>
      </c>
      <c r="C12" s="3"/>
      <c r="D12" s="6"/>
      <c r="E12" s="6"/>
      <c r="F12" s="6"/>
      <c r="G12" s="6"/>
      <c r="H12" s="3"/>
      <c r="K12" s="3" t="s">
        <v>653</v>
      </c>
      <c r="L12" s="3">
        <v>42</v>
      </c>
      <c r="M12" s="3"/>
      <c r="N12" s="6"/>
      <c r="O12" s="6"/>
      <c r="P12" s="6"/>
      <c r="Q12" s="6"/>
      <c r="R12" s="3"/>
    </row>
    <row r="13" spans="1:20">
      <c r="A13" s="3" t="s">
        <v>262</v>
      </c>
      <c r="B13" s="3">
        <v>13</v>
      </c>
      <c r="C13" s="3"/>
      <c r="D13" s="6"/>
      <c r="E13" s="6"/>
      <c r="F13" s="6">
        <v>9</v>
      </c>
      <c r="G13" s="6">
        <v>9</v>
      </c>
      <c r="H13" s="3"/>
      <c r="K13" s="3" t="s">
        <v>654</v>
      </c>
      <c r="L13" s="3">
        <v>13</v>
      </c>
      <c r="M13" s="3"/>
      <c r="N13" s="6"/>
      <c r="O13" s="6"/>
      <c r="P13" s="6">
        <v>9</v>
      </c>
      <c r="Q13" s="6">
        <v>9</v>
      </c>
      <c r="R13" s="3"/>
    </row>
    <row r="14" spans="1:20" ht="28.5">
      <c r="A14" s="3" t="s">
        <v>172</v>
      </c>
      <c r="B14" s="3">
        <v>37</v>
      </c>
      <c r="C14" s="3">
        <v>2</v>
      </c>
      <c r="D14" s="6">
        <v>8</v>
      </c>
      <c r="E14" s="6"/>
      <c r="F14" s="6">
        <v>36</v>
      </c>
      <c r="G14" s="6">
        <v>44</v>
      </c>
      <c r="H14" s="3"/>
      <c r="K14" s="3" t="s">
        <v>655</v>
      </c>
      <c r="L14" s="3">
        <v>37</v>
      </c>
      <c r="M14" s="3">
        <v>2</v>
      </c>
      <c r="N14" s="6">
        <v>8</v>
      </c>
      <c r="O14" s="6"/>
      <c r="P14" s="6">
        <v>36</v>
      </c>
      <c r="Q14" s="6">
        <v>44</v>
      </c>
      <c r="R14" s="3"/>
    </row>
    <row r="15" spans="1:20">
      <c r="A15" s="3" t="s">
        <v>171</v>
      </c>
      <c r="B15" s="3">
        <v>29</v>
      </c>
      <c r="C15" s="3"/>
      <c r="D15" s="6"/>
      <c r="E15" s="6"/>
      <c r="F15" s="6"/>
      <c r="G15" s="6"/>
      <c r="H15" s="3"/>
      <c r="K15" s="3" t="s">
        <v>656</v>
      </c>
      <c r="L15" s="3">
        <v>29</v>
      </c>
      <c r="M15" s="3"/>
      <c r="N15" s="6"/>
      <c r="O15" s="6"/>
      <c r="P15" s="6"/>
      <c r="Q15" s="6"/>
      <c r="R15" s="3"/>
    </row>
    <row r="16" spans="1:20" ht="57">
      <c r="A16" s="3" t="s">
        <v>263</v>
      </c>
      <c r="B16" s="3"/>
      <c r="C16" s="3">
        <v>1</v>
      </c>
      <c r="D16" s="6">
        <v>50</v>
      </c>
      <c r="E16" s="6"/>
      <c r="F16" s="6"/>
      <c r="G16" s="6">
        <v>50</v>
      </c>
      <c r="H16" s="3"/>
      <c r="K16" s="3" t="s">
        <v>657</v>
      </c>
      <c r="L16" s="3"/>
      <c r="M16" s="3">
        <v>1</v>
      </c>
      <c r="N16" s="6">
        <v>50</v>
      </c>
      <c r="O16" s="6"/>
      <c r="P16" s="6"/>
      <c r="Q16" s="6">
        <v>50</v>
      </c>
      <c r="R16" s="3"/>
    </row>
    <row r="17" spans="1:18" ht="71.25">
      <c r="A17" s="3" t="s">
        <v>173</v>
      </c>
      <c r="B17" s="3">
        <v>45</v>
      </c>
      <c r="C17" s="3">
        <v>5</v>
      </c>
      <c r="D17" s="6">
        <v>300</v>
      </c>
      <c r="E17" s="6"/>
      <c r="F17" s="6">
        <v>120</v>
      </c>
      <c r="G17" s="6">
        <v>420</v>
      </c>
      <c r="H17" s="3" t="s">
        <v>264</v>
      </c>
      <c r="K17" s="3" t="s">
        <v>658</v>
      </c>
      <c r="L17" s="3">
        <v>45</v>
      </c>
      <c r="M17" s="3">
        <v>5</v>
      </c>
      <c r="N17" s="6">
        <v>300</v>
      </c>
      <c r="O17" s="6"/>
      <c r="P17" s="6">
        <v>120</v>
      </c>
      <c r="Q17" s="6">
        <v>420</v>
      </c>
      <c r="R17" s="3" t="s">
        <v>659</v>
      </c>
    </row>
    <row r="18" spans="1:18">
      <c r="A18" s="3" t="s">
        <v>171</v>
      </c>
      <c r="B18" s="3">
        <v>42</v>
      </c>
      <c r="C18" s="3"/>
      <c r="D18" s="6"/>
      <c r="E18" s="6"/>
      <c r="F18" s="6"/>
      <c r="G18" s="6"/>
      <c r="H18" s="3"/>
      <c r="K18" s="3" t="s">
        <v>660</v>
      </c>
      <c r="L18" s="3">
        <v>42</v>
      </c>
      <c r="M18" s="3"/>
      <c r="N18" s="6"/>
      <c r="O18" s="6"/>
      <c r="P18" s="6"/>
      <c r="Q18" s="6"/>
      <c r="R18" s="3"/>
    </row>
    <row r="19" spans="1:18">
      <c r="A19" s="3" t="s">
        <v>174</v>
      </c>
      <c r="B19" s="3"/>
      <c r="C19" s="3"/>
      <c r="D19" s="6"/>
      <c r="E19" s="6"/>
      <c r="F19" s="6"/>
      <c r="G19" s="6"/>
      <c r="H19" s="3"/>
      <c r="K19" s="3" t="s">
        <v>661</v>
      </c>
      <c r="L19" s="3"/>
      <c r="M19" s="3"/>
      <c r="N19" s="6"/>
      <c r="O19" s="6"/>
      <c r="P19" s="6"/>
      <c r="Q19" s="6"/>
      <c r="R19" s="3"/>
    </row>
    <row r="20" spans="1:18" ht="28.5">
      <c r="A20" s="3" t="s">
        <v>175</v>
      </c>
      <c r="B20" s="3">
        <v>30</v>
      </c>
      <c r="C20" s="3">
        <v>1</v>
      </c>
      <c r="D20" s="6">
        <v>16</v>
      </c>
      <c r="E20" s="6"/>
      <c r="F20" s="6">
        <v>18</v>
      </c>
      <c r="G20" s="6">
        <v>34</v>
      </c>
      <c r="H20" s="3" t="s">
        <v>36</v>
      </c>
      <c r="K20" s="3" t="s">
        <v>662</v>
      </c>
      <c r="L20" s="3">
        <v>30</v>
      </c>
      <c r="M20" s="3">
        <v>1</v>
      </c>
      <c r="N20" s="6">
        <v>16</v>
      </c>
      <c r="O20" s="6"/>
      <c r="P20" s="6">
        <v>18</v>
      </c>
      <c r="Q20" s="6">
        <v>34</v>
      </c>
      <c r="R20" s="3" t="s">
        <v>663</v>
      </c>
    </row>
    <row r="21" spans="1:18" ht="28.5">
      <c r="A21" s="3" t="s">
        <v>176</v>
      </c>
      <c r="B21" s="3">
        <v>20</v>
      </c>
      <c r="C21" s="3">
        <v>1</v>
      </c>
      <c r="D21" s="6">
        <v>12</v>
      </c>
      <c r="E21" s="6"/>
      <c r="F21" s="6">
        <v>18</v>
      </c>
      <c r="G21" s="6">
        <v>30</v>
      </c>
      <c r="H21" s="3" t="s">
        <v>36</v>
      </c>
      <c r="K21" s="3" t="s">
        <v>664</v>
      </c>
      <c r="L21" s="3">
        <v>20</v>
      </c>
      <c r="M21" s="3">
        <v>1</v>
      </c>
      <c r="N21" s="6">
        <v>12</v>
      </c>
      <c r="O21" s="6"/>
      <c r="P21" s="6">
        <v>18</v>
      </c>
      <c r="Q21" s="6">
        <v>30</v>
      </c>
      <c r="R21" s="3" t="s">
        <v>663</v>
      </c>
    </row>
    <row r="22" spans="1:18" ht="28.5">
      <c r="A22" s="3" t="s">
        <v>177</v>
      </c>
      <c r="B22" s="3">
        <v>28</v>
      </c>
      <c r="C22" s="3">
        <v>1</v>
      </c>
      <c r="D22" s="6">
        <v>12</v>
      </c>
      <c r="E22" s="6"/>
      <c r="F22" s="6">
        <v>18</v>
      </c>
      <c r="G22" s="6">
        <v>30</v>
      </c>
      <c r="H22" s="3" t="s">
        <v>178</v>
      </c>
      <c r="K22" s="3" t="s">
        <v>665</v>
      </c>
      <c r="L22" s="3">
        <v>28</v>
      </c>
      <c r="M22" s="3">
        <v>1</v>
      </c>
      <c r="N22" s="6">
        <v>12</v>
      </c>
      <c r="O22" s="6"/>
      <c r="P22" s="6">
        <v>18</v>
      </c>
      <c r="Q22" s="6">
        <v>30</v>
      </c>
      <c r="R22" s="3" t="s">
        <v>666</v>
      </c>
    </row>
    <row r="23" spans="1:18" ht="28.5">
      <c r="A23" s="3" t="s">
        <v>179</v>
      </c>
      <c r="B23" s="3">
        <v>27</v>
      </c>
      <c r="C23" s="3">
        <v>1</v>
      </c>
      <c r="D23" s="6">
        <v>12</v>
      </c>
      <c r="E23" s="6"/>
      <c r="F23" s="6">
        <v>18</v>
      </c>
      <c r="G23" s="6">
        <v>30</v>
      </c>
      <c r="H23" s="3" t="s">
        <v>178</v>
      </c>
      <c r="K23" s="3" t="s">
        <v>667</v>
      </c>
      <c r="L23" s="3">
        <v>27</v>
      </c>
      <c r="M23" s="3">
        <v>1</v>
      </c>
      <c r="N23" s="6">
        <v>12</v>
      </c>
      <c r="O23" s="6"/>
      <c r="P23" s="6">
        <v>18</v>
      </c>
      <c r="Q23" s="6">
        <v>30</v>
      </c>
      <c r="R23" s="3" t="s">
        <v>666</v>
      </c>
    </row>
    <row r="24" spans="1:18" ht="28.5">
      <c r="A24" s="3" t="s">
        <v>180</v>
      </c>
      <c r="B24" s="3">
        <v>31</v>
      </c>
      <c r="C24" s="3">
        <v>1</v>
      </c>
      <c r="D24" s="6">
        <v>6</v>
      </c>
      <c r="E24" s="6">
        <v>6</v>
      </c>
      <c r="F24" s="6">
        <v>18</v>
      </c>
      <c r="G24" s="6">
        <v>30</v>
      </c>
      <c r="H24" s="3" t="s">
        <v>46</v>
      </c>
      <c r="K24" s="3" t="s">
        <v>668</v>
      </c>
      <c r="L24" s="3">
        <v>31</v>
      </c>
      <c r="M24" s="3">
        <v>1</v>
      </c>
      <c r="N24" s="6">
        <v>6</v>
      </c>
      <c r="O24" s="6">
        <v>6</v>
      </c>
      <c r="P24" s="6">
        <v>18</v>
      </c>
      <c r="Q24" s="6">
        <v>30</v>
      </c>
      <c r="R24" s="3" t="s">
        <v>669</v>
      </c>
    </row>
    <row r="25" spans="1:18" ht="28.5">
      <c r="A25" s="3" t="s">
        <v>181</v>
      </c>
      <c r="B25" s="3">
        <v>34</v>
      </c>
      <c r="C25" s="3">
        <v>1</v>
      </c>
      <c r="D25" s="6">
        <v>6</v>
      </c>
      <c r="E25" s="6">
        <v>6</v>
      </c>
      <c r="F25" s="6">
        <v>18</v>
      </c>
      <c r="G25" s="6">
        <v>30</v>
      </c>
      <c r="H25" s="3" t="s">
        <v>46</v>
      </c>
      <c r="K25" s="3" t="s">
        <v>670</v>
      </c>
      <c r="L25" s="3">
        <v>34</v>
      </c>
      <c r="M25" s="3">
        <v>1</v>
      </c>
      <c r="N25" s="6">
        <v>6</v>
      </c>
      <c r="O25" s="6">
        <v>6</v>
      </c>
      <c r="P25" s="6">
        <v>18</v>
      </c>
      <c r="Q25" s="6">
        <v>30</v>
      </c>
      <c r="R25" s="3" t="s">
        <v>669</v>
      </c>
    </row>
    <row r="26" spans="1:18" ht="71.25">
      <c r="A26" s="3" t="s">
        <v>182</v>
      </c>
      <c r="B26" s="3">
        <v>38</v>
      </c>
      <c r="C26" s="3">
        <v>3</v>
      </c>
      <c r="D26" s="6">
        <v>8</v>
      </c>
      <c r="E26" s="6"/>
      <c r="F26" s="6">
        <v>36</v>
      </c>
      <c r="G26" s="6">
        <v>44</v>
      </c>
      <c r="H26" s="3" t="s">
        <v>170</v>
      </c>
      <c r="K26" s="3" t="s">
        <v>671</v>
      </c>
      <c r="L26" s="3">
        <v>38</v>
      </c>
      <c r="M26" s="3">
        <v>3</v>
      </c>
      <c r="N26" s="6">
        <v>8</v>
      </c>
      <c r="O26" s="6"/>
      <c r="P26" s="6">
        <v>36</v>
      </c>
      <c r="Q26" s="6">
        <v>44</v>
      </c>
      <c r="R26" s="3" t="s">
        <v>652</v>
      </c>
    </row>
    <row r="27" spans="1:18">
      <c r="A27" s="3" t="s">
        <v>171</v>
      </c>
      <c r="B27" s="3">
        <v>29</v>
      </c>
      <c r="C27" s="3"/>
      <c r="D27" s="6"/>
      <c r="E27" s="6"/>
      <c r="F27" s="6"/>
      <c r="G27" s="6"/>
      <c r="H27" s="3"/>
      <c r="K27" s="3" t="s">
        <v>672</v>
      </c>
      <c r="L27" s="3">
        <v>29</v>
      </c>
      <c r="M27" s="3"/>
      <c r="N27" s="6"/>
      <c r="O27" s="6"/>
      <c r="P27" s="6"/>
      <c r="Q27" s="6"/>
      <c r="R27" s="3"/>
    </row>
    <row r="28" spans="1:18">
      <c r="A28" s="3" t="s">
        <v>265</v>
      </c>
      <c r="B28" s="3">
        <v>7</v>
      </c>
      <c r="C28" s="3"/>
      <c r="D28" s="6"/>
      <c r="E28" s="6"/>
      <c r="F28" s="6">
        <v>9</v>
      </c>
      <c r="G28" s="6">
        <v>9</v>
      </c>
      <c r="H28" s="3"/>
      <c r="K28" s="3" t="s">
        <v>673</v>
      </c>
      <c r="L28" s="3">
        <v>7</v>
      </c>
      <c r="M28" s="3"/>
      <c r="N28" s="6"/>
      <c r="O28" s="6"/>
      <c r="P28" s="6">
        <v>9</v>
      </c>
      <c r="Q28" s="6">
        <v>9</v>
      </c>
      <c r="R28" s="3"/>
    </row>
    <row r="29" spans="1:18">
      <c r="A29" s="3" t="s">
        <v>183</v>
      </c>
      <c r="B29" s="3">
        <v>3</v>
      </c>
      <c r="C29" s="3">
        <v>1</v>
      </c>
      <c r="D29" s="6"/>
      <c r="E29" s="6"/>
      <c r="F29" s="6"/>
      <c r="G29" s="6"/>
      <c r="H29" s="3"/>
      <c r="K29" s="3" t="s">
        <v>674</v>
      </c>
      <c r="L29" s="3">
        <v>3</v>
      </c>
      <c r="M29" s="3">
        <v>1</v>
      </c>
      <c r="N29" s="6"/>
      <c r="O29" s="6"/>
      <c r="P29" s="6"/>
      <c r="Q29" s="6"/>
      <c r="R29" s="3"/>
    </row>
    <row r="30" spans="1:18">
      <c r="A30" s="3" t="s">
        <v>184</v>
      </c>
      <c r="B30" s="3">
        <v>30</v>
      </c>
      <c r="C30" s="3">
        <v>1</v>
      </c>
      <c r="D30" s="6">
        <v>7</v>
      </c>
      <c r="E30" s="6"/>
      <c r="F30" s="6">
        <v>18</v>
      </c>
      <c r="G30" s="6">
        <v>25</v>
      </c>
      <c r="H30" s="3"/>
      <c r="K30" s="3" t="s">
        <v>675</v>
      </c>
      <c r="L30" s="3">
        <v>30</v>
      </c>
      <c r="M30" s="3">
        <v>1</v>
      </c>
      <c r="N30" s="6">
        <v>7</v>
      </c>
      <c r="O30" s="6"/>
      <c r="P30" s="6">
        <v>18</v>
      </c>
      <c r="Q30" s="6">
        <v>25</v>
      </c>
      <c r="R30" s="3"/>
    </row>
    <row r="31" spans="1:18" ht="28.5">
      <c r="A31" s="3" t="s">
        <v>185</v>
      </c>
      <c r="B31" s="3">
        <v>25</v>
      </c>
      <c r="C31" s="3">
        <v>1</v>
      </c>
      <c r="D31" s="6">
        <v>7</v>
      </c>
      <c r="E31" s="6"/>
      <c r="F31" s="6">
        <v>18</v>
      </c>
      <c r="G31" s="6">
        <v>25</v>
      </c>
      <c r="H31" s="3"/>
      <c r="K31" s="3" t="s">
        <v>676</v>
      </c>
      <c r="L31" s="3">
        <v>25</v>
      </c>
      <c r="M31" s="3">
        <v>1</v>
      </c>
      <c r="N31" s="6">
        <v>7</v>
      </c>
      <c r="O31" s="6"/>
      <c r="P31" s="6">
        <v>18</v>
      </c>
      <c r="Q31" s="6">
        <v>25</v>
      </c>
      <c r="R31" s="3"/>
    </row>
    <row r="32" spans="1:18" ht="28.5">
      <c r="A32" s="3" t="s">
        <v>186</v>
      </c>
      <c r="B32" s="3">
        <v>25</v>
      </c>
      <c r="C32" s="3">
        <v>1</v>
      </c>
      <c r="D32" s="6">
        <v>7</v>
      </c>
      <c r="E32" s="6"/>
      <c r="F32" s="6">
        <v>18</v>
      </c>
      <c r="G32" s="6">
        <v>25</v>
      </c>
      <c r="H32" s="3" t="s">
        <v>187</v>
      </c>
      <c r="K32" s="3" t="s">
        <v>677</v>
      </c>
      <c r="L32" s="3">
        <v>25</v>
      </c>
      <c r="M32" s="3">
        <v>1</v>
      </c>
      <c r="N32" s="6">
        <v>7</v>
      </c>
      <c r="O32" s="6"/>
      <c r="P32" s="6">
        <v>18</v>
      </c>
      <c r="Q32" s="6">
        <v>25</v>
      </c>
      <c r="R32" s="3" t="s">
        <v>678</v>
      </c>
    </row>
    <row r="33" spans="1:18" ht="28.5">
      <c r="A33" s="3" t="s">
        <v>188</v>
      </c>
      <c r="B33" s="3">
        <v>24</v>
      </c>
      <c r="C33" s="3">
        <v>1</v>
      </c>
      <c r="D33" s="6">
        <v>7</v>
      </c>
      <c r="E33" s="6"/>
      <c r="F33" s="6">
        <v>18</v>
      </c>
      <c r="G33" s="6">
        <v>25</v>
      </c>
      <c r="H33" s="3" t="s">
        <v>189</v>
      </c>
      <c r="K33" s="3" t="s">
        <v>679</v>
      </c>
      <c r="L33" s="3">
        <v>24</v>
      </c>
      <c r="M33" s="3">
        <v>1</v>
      </c>
      <c r="N33" s="6">
        <v>7</v>
      </c>
      <c r="O33" s="6"/>
      <c r="P33" s="6">
        <v>18</v>
      </c>
      <c r="Q33" s="6">
        <v>25</v>
      </c>
      <c r="R33" s="3" t="s">
        <v>680</v>
      </c>
    </row>
    <row r="34" spans="1:18" ht="28.5">
      <c r="A34" s="3" t="s">
        <v>190</v>
      </c>
      <c r="B34" s="3">
        <v>54</v>
      </c>
      <c r="C34" s="3">
        <v>2</v>
      </c>
      <c r="D34" s="6">
        <v>7</v>
      </c>
      <c r="E34" s="6"/>
      <c r="F34" s="6">
        <v>23</v>
      </c>
      <c r="G34" s="6">
        <v>30</v>
      </c>
      <c r="H34" s="3" t="s">
        <v>191</v>
      </c>
      <c r="K34" s="3" t="s">
        <v>681</v>
      </c>
      <c r="L34" s="3">
        <v>54</v>
      </c>
      <c r="M34" s="3">
        <v>2</v>
      </c>
      <c r="N34" s="6">
        <v>7</v>
      </c>
      <c r="O34" s="6"/>
      <c r="P34" s="6">
        <v>23</v>
      </c>
      <c r="Q34" s="6">
        <v>30</v>
      </c>
      <c r="R34" s="3" t="s">
        <v>682</v>
      </c>
    </row>
    <row r="35" spans="1:18">
      <c r="A35" s="3" t="s">
        <v>171</v>
      </c>
      <c r="B35" s="3">
        <v>56</v>
      </c>
      <c r="C35" s="3"/>
      <c r="D35" s="6"/>
      <c r="E35" s="6"/>
      <c r="F35" s="6"/>
      <c r="G35" s="6"/>
      <c r="H35" s="3"/>
      <c r="K35" s="3" t="s">
        <v>683</v>
      </c>
      <c r="L35" s="3">
        <v>56</v>
      </c>
      <c r="M35" s="3"/>
      <c r="N35" s="6"/>
      <c r="O35" s="6"/>
      <c r="P35" s="6"/>
      <c r="Q35" s="6"/>
      <c r="R35" s="3"/>
    </row>
    <row r="36" spans="1:18" ht="28.5">
      <c r="A36" s="3" t="s">
        <v>192</v>
      </c>
      <c r="B36" s="3">
        <v>50</v>
      </c>
      <c r="C36" s="3">
        <v>1</v>
      </c>
      <c r="D36" s="6">
        <v>7</v>
      </c>
      <c r="E36" s="6"/>
      <c r="F36" s="6">
        <v>18</v>
      </c>
      <c r="G36" s="6">
        <v>25</v>
      </c>
      <c r="H36" s="3" t="s">
        <v>191</v>
      </c>
      <c r="K36" s="3" t="s">
        <v>684</v>
      </c>
      <c r="L36" s="3">
        <v>50</v>
      </c>
      <c r="M36" s="3">
        <v>1</v>
      </c>
      <c r="N36" s="6">
        <v>7</v>
      </c>
      <c r="O36" s="6"/>
      <c r="P36" s="6">
        <v>18</v>
      </c>
      <c r="Q36" s="6">
        <v>25</v>
      </c>
      <c r="R36" s="3" t="s">
        <v>682</v>
      </c>
    </row>
    <row r="37" spans="1:18" ht="28.5">
      <c r="A37" s="3" t="s">
        <v>193</v>
      </c>
      <c r="B37" s="3">
        <v>62</v>
      </c>
      <c r="C37" s="3">
        <v>2</v>
      </c>
      <c r="D37" s="6">
        <v>4</v>
      </c>
      <c r="E37" s="6">
        <v>4</v>
      </c>
      <c r="F37" s="6">
        <v>7</v>
      </c>
      <c r="G37" s="6">
        <v>15</v>
      </c>
      <c r="H37" s="3" t="s">
        <v>266</v>
      </c>
      <c r="K37" s="3" t="s">
        <v>685</v>
      </c>
      <c r="L37" s="3">
        <v>62</v>
      </c>
      <c r="M37" s="3">
        <v>2</v>
      </c>
      <c r="N37" s="6">
        <v>4</v>
      </c>
      <c r="O37" s="6">
        <v>4</v>
      </c>
      <c r="P37" s="6">
        <v>7</v>
      </c>
      <c r="Q37" s="6">
        <v>15</v>
      </c>
      <c r="R37" s="3" t="s">
        <v>686</v>
      </c>
    </row>
    <row r="38" spans="1:18">
      <c r="A38" s="3" t="s">
        <v>171</v>
      </c>
      <c r="B38" s="3">
        <v>40</v>
      </c>
      <c r="C38" s="3"/>
      <c r="D38" s="6"/>
      <c r="E38" s="6"/>
      <c r="F38" s="6"/>
      <c r="G38" s="6"/>
      <c r="H38" s="3"/>
      <c r="K38" s="3" t="s">
        <v>687</v>
      </c>
      <c r="L38" s="3">
        <v>40</v>
      </c>
      <c r="M38" s="3"/>
      <c r="N38" s="6"/>
      <c r="O38" s="6"/>
      <c r="P38" s="6"/>
      <c r="Q38" s="6"/>
      <c r="R38" s="3"/>
    </row>
    <row r="39" spans="1:18">
      <c r="A39" s="3" t="s">
        <v>194</v>
      </c>
      <c r="B39" s="3">
        <v>58</v>
      </c>
      <c r="C39" s="3">
        <v>1</v>
      </c>
      <c r="D39" s="6">
        <v>3</v>
      </c>
      <c r="E39" s="6">
        <v>3</v>
      </c>
      <c r="F39" s="6">
        <v>4</v>
      </c>
      <c r="G39" s="6">
        <v>10</v>
      </c>
      <c r="H39" s="3"/>
      <c r="K39" s="3" t="s">
        <v>688</v>
      </c>
      <c r="L39" s="3">
        <v>58</v>
      </c>
      <c r="M39" s="3">
        <v>1</v>
      </c>
      <c r="N39" s="6">
        <v>3</v>
      </c>
      <c r="O39" s="6">
        <v>3</v>
      </c>
      <c r="P39" s="6">
        <v>4</v>
      </c>
      <c r="Q39" s="6">
        <v>10</v>
      </c>
      <c r="R39" s="3"/>
    </row>
    <row r="40" spans="1:18" ht="57">
      <c r="A40" s="3" t="s">
        <v>195</v>
      </c>
      <c r="B40" s="3">
        <v>26</v>
      </c>
      <c r="C40" s="3">
        <v>2</v>
      </c>
      <c r="D40" s="6">
        <v>50</v>
      </c>
      <c r="E40" s="6"/>
      <c r="F40" s="6"/>
      <c r="G40" s="6">
        <f t="shared" ref="G40:G64" si="0">(D40+E40+F40)</f>
        <v>50</v>
      </c>
      <c r="H40" s="3" t="s">
        <v>196</v>
      </c>
      <c r="K40" s="3" t="s">
        <v>689</v>
      </c>
      <c r="L40" s="3">
        <v>26</v>
      </c>
      <c r="M40" s="3">
        <v>2</v>
      </c>
      <c r="N40" s="6">
        <v>50</v>
      </c>
      <c r="O40" s="6"/>
      <c r="P40" s="6"/>
      <c r="Q40" s="6">
        <v>50</v>
      </c>
      <c r="R40" s="3" t="s">
        <v>690</v>
      </c>
    </row>
    <row r="41" spans="1:18" ht="99.75">
      <c r="A41" s="3" t="s">
        <v>197</v>
      </c>
      <c r="B41" s="3">
        <v>62</v>
      </c>
      <c r="C41" s="3">
        <v>3</v>
      </c>
      <c r="D41" s="6">
        <v>24</v>
      </c>
      <c r="E41" s="6"/>
      <c r="F41" s="6"/>
      <c r="G41" s="6">
        <f t="shared" si="0"/>
        <v>24</v>
      </c>
      <c r="H41" s="3" t="s">
        <v>198</v>
      </c>
      <c r="K41" s="3" t="s">
        <v>691</v>
      </c>
      <c r="L41" s="3">
        <v>62</v>
      </c>
      <c r="M41" s="3">
        <v>3</v>
      </c>
      <c r="N41" s="6">
        <v>24</v>
      </c>
      <c r="O41" s="6"/>
      <c r="P41" s="6"/>
      <c r="Q41" s="6">
        <v>24</v>
      </c>
      <c r="R41" s="3" t="s">
        <v>692</v>
      </c>
    </row>
    <row r="42" spans="1:18" ht="42.75">
      <c r="A42" s="3" t="s">
        <v>199</v>
      </c>
      <c r="B42" s="3">
        <v>63</v>
      </c>
      <c r="C42" s="3">
        <v>1</v>
      </c>
      <c r="D42" s="6">
        <v>12</v>
      </c>
      <c r="E42" s="6"/>
      <c r="F42" s="6"/>
      <c r="G42" s="6">
        <f t="shared" si="0"/>
        <v>12</v>
      </c>
      <c r="H42" s="3" t="s">
        <v>200</v>
      </c>
      <c r="K42" s="3"/>
      <c r="L42" s="3"/>
      <c r="M42" s="3"/>
      <c r="N42" s="6"/>
      <c r="O42" s="6"/>
      <c r="P42" s="6"/>
      <c r="Q42" s="6"/>
      <c r="R42" s="3"/>
    </row>
    <row r="43" spans="1:18" ht="42.75">
      <c r="A43" s="3" t="s">
        <v>201</v>
      </c>
      <c r="B43" s="3">
        <v>43</v>
      </c>
      <c r="C43" s="3">
        <v>4</v>
      </c>
      <c r="D43" s="6">
        <v>15</v>
      </c>
      <c r="E43" s="6"/>
      <c r="F43" s="6"/>
      <c r="G43" s="6">
        <f t="shared" si="0"/>
        <v>15</v>
      </c>
      <c r="H43" s="3" t="s">
        <v>202</v>
      </c>
      <c r="K43" s="3" t="s">
        <v>693</v>
      </c>
      <c r="L43" s="3">
        <v>63</v>
      </c>
      <c r="M43" s="3">
        <v>1</v>
      </c>
      <c r="N43" s="6">
        <v>12</v>
      </c>
      <c r="O43" s="6"/>
      <c r="P43" s="6"/>
      <c r="Q43" s="6">
        <v>12</v>
      </c>
      <c r="R43" s="3" t="s">
        <v>694</v>
      </c>
    </row>
    <row r="44" spans="1:18" ht="42.75">
      <c r="A44" s="3" t="s">
        <v>203</v>
      </c>
      <c r="B44" s="3">
        <v>39</v>
      </c>
      <c r="C44" s="3">
        <v>3</v>
      </c>
      <c r="D44" s="6">
        <v>18</v>
      </c>
      <c r="E44" s="6"/>
      <c r="F44" s="6"/>
      <c r="G44" s="6">
        <f t="shared" si="0"/>
        <v>18</v>
      </c>
      <c r="H44" s="3" t="s">
        <v>204</v>
      </c>
      <c r="K44" s="3" t="s">
        <v>695</v>
      </c>
      <c r="L44" s="3">
        <v>43</v>
      </c>
      <c r="M44" s="3">
        <v>4</v>
      </c>
      <c r="N44" s="6">
        <v>15</v>
      </c>
      <c r="O44" s="6"/>
      <c r="P44" s="6"/>
      <c r="Q44" s="6">
        <v>15</v>
      </c>
      <c r="R44" s="3" t="s">
        <v>696</v>
      </c>
    </row>
    <row r="45" spans="1:18" ht="57">
      <c r="A45" s="3" t="s">
        <v>205</v>
      </c>
      <c r="B45" s="3">
        <v>59</v>
      </c>
      <c r="C45" s="3">
        <v>2</v>
      </c>
      <c r="D45" s="6">
        <v>12</v>
      </c>
      <c r="E45" s="6"/>
      <c r="F45" s="6"/>
      <c r="G45" s="6">
        <f t="shared" si="0"/>
        <v>12</v>
      </c>
      <c r="H45" s="3" t="s">
        <v>206</v>
      </c>
      <c r="K45" s="3" t="s">
        <v>697</v>
      </c>
      <c r="L45" s="3">
        <v>39</v>
      </c>
      <c r="M45" s="3">
        <v>3</v>
      </c>
      <c r="N45" s="6">
        <v>18</v>
      </c>
      <c r="O45" s="6"/>
      <c r="P45" s="6"/>
      <c r="Q45" s="6">
        <v>18</v>
      </c>
      <c r="R45" s="3" t="s">
        <v>698</v>
      </c>
    </row>
    <row r="46" spans="1:18" ht="57">
      <c r="A46" s="3" t="s">
        <v>207</v>
      </c>
      <c r="B46" s="3">
        <v>59</v>
      </c>
      <c r="C46" s="3">
        <v>3</v>
      </c>
      <c r="D46" s="6">
        <v>12</v>
      </c>
      <c r="E46" s="6"/>
      <c r="F46" s="6"/>
      <c r="G46" s="6">
        <f t="shared" si="0"/>
        <v>12</v>
      </c>
      <c r="H46" s="3" t="s">
        <v>208</v>
      </c>
      <c r="K46" s="3" t="s">
        <v>699</v>
      </c>
      <c r="L46" s="3">
        <v>59</v>
      </c>
      <c r="M46" s="3">
        <v>2</v>
      </c>
      <c r="N46" s="6">
        <v>12</v>
      </c>
      <c r="O46" s="6"/>
      <c r="P46" s="6"/>
      <c r="Q46" s="6">
        <v>12</v>
      </c>
      <c r="R46" s="3" t="s">
        <v>700</v>
      </c>
    </row>
    <row r="47" spans="1:18" ht="57">
      <c r="A47" s="3" t="s">
        <v>209</v>
      </c>
      <c r="B47" s="3">
        <v>56</v>
      </c>
      <c r="C47" s="3">
        <v>8</v>
      </c>
      <c r="D47" s="6">
        <v>15</v>
      </c>
      <c r="E47" s="6"/>
      <c r="F47" s="6"/>
      <c r="G47" s="6">
        <f t="shared" si="0"/>
        <v>15</v>
      </c>
      <c r="H47" s="3" t="s">
        <v>210</v>
      </c>
      <c r="K47" s="3" t="s">
        <v>701</v>
      </c>
      <c r="L47" s="3">
        <v>59</v>
      </c>
      <c r="M47" s="3">
        <v>3</v>
      </c>
      <c r="N47" s="6">
        <v>12</v>
      </c>
      <c r="O47" s="6"/>
      <c r="P47" s="6"/>
      <c r="Q47" s="6">
        <v>12</v>
      </c>
      <c r="R47" s="3" t="s">
        <v>702</v>
      </c>
    </row>
    <row r="48" spans="1:18" ht="28.5">
      <c r="A48" s="3" t="s">
        <v>211</v>
      </c>
      <c r="B48" s="3">
        <v>64</v>
      </c>
      <c r="C48" s="3">
        <v>2</v>
      </c>
      <c r="D48" s="6">
        <v>13</v>
      </c>
      <c r="E48" s="6"/>
      <c r="F48" s="6"/>
      <c r="G48" s="6">
        <f t="shared" si="0"/>
        <v>13</v>
      </c>
      <c r="H48" s="3" t="s">
        <v>212</v>
      </c>
      <c r="K48" s="3" t="s">
        <v>703</v>
      </c>
      <c r="L48" s="3">
        <v>56</v>
      </c>
      <c r="M48" s="3">
        <v>8</v>
      </c>
      <c r="N48" s="6">
        <v>15</v>
      </c>
      <c r="O48" s="6"/>
      <c r="P48" s="6"/>
      <c r="Q48" s="6">
        <v>15</v>
      </c>
      <c r="R48" s="3" t="s">
        <v>704</v>
      </c>
    </row>
    <row r="49" spans="1:18" ht="57">
      <c r="A49" s="3" t="s">
        <v>213</v>
      </c>
      <c r="B49" s="3">
        <v>65</v>
      </c>
      <c r="C49" s="3">
        <v>3</v>
      </c>
      <c r="D49" s="6">
        <v>13</v>
      </c>
      <c r="E49" s="6"/>
      <c r="F49" s="6"/>
      <c r="G49" s="6">
        <f t="shared" si="0"/>
        <v>13</v>
      </c>
      <c r="H49" s="3" t="s">
        <v>212</v>
      </c>
      <c r="K49" s="3"/>
      <c r="L49" s="3"/>
      <c r="M49" s="3"/>
      <c r="N49" s="6"/>
      <c r="O49" s="6"/>
      <c r="P49" s="6"/>
      <c r="Q49" s="6"/>
      <c r="R49" s="3"/>
    </row>
    <row r="50" spans="1:18" ht="42.75">
      <c r="A50" s="3" t="s">
        <v>214</v>
      </c>
      <c r="B50" s="3">
        <v>62</v>
      </c>
      <c r="C50" s="3">
        <v>1</v>
      </c>
      <c r="D50" s="6">
        <v>10</v>
      </c>
      <c r="E50" s="6"/>
      <c r="F50" s="6"/>
      <c r="G50" s="6">
        <f t="shared" si="0"/>
        <v>10</v>
      </c>
      <c r="H50" s="3" t="s">
        <v>212</v>
      </c>
      <c r="K50" s="3" t="s">
        <v>705</v>
      </c>
      <c r="L50" s="3">
        <v>64</v>
      </c>
      <c r="M50" s="3">
        <v>2</v>
      </c>
      <c r="N50" s="6">
        <v>13</v>
      </c>
      <c r="O50" s="6"/>
      <c r="P50" s="6"/>
      <c r="Q50" s="6">
        <v>13</v>
      </c>
      <c r="R50" s="3" t="s">
        <v>706</v>
      </c>
    </row>
    <row r="51" spans="1:18" ht="28.5">
      <c r="A51" s="3" t="s">
        <v>215</v>
      </c>
      <c r="B51" s="3">
        <v>64</v>
      </c>
      <c r="C51" s="3">
        <v>1</v>
      </c>
      <c r="D51" s="6">
        <v>6</v>
      </c>
      <c r="E51" s="6"/>
      <c r="F51" s="6"/>
      <c r="G51" s="6">
        <f t="shared" si="0"/>
        <v>6</v>
      </c>
      <c r="H51" s="3" t="s">
        <v>212</v>
      </c>
      <c r="K51" s="3" t="s">
        <v>707</v>
      </c>
      <c r="L51" s="3">
        <v>65</v>
      </c>
      <c r="M51" s="3">
        <v>3</v>
      </c>
      <c r="N51" s="6">
        <v>13</v>
      </c>
      <c r="O51" s="6"/>
      <c r="P51" s="6"/>
      <c r="Q51" s="6">
        <v>13</v>
      </c>
      <c r="R51" s="3" t="s">
        <v>706</v>
      </c>
    </row>
    <row r="52" spans="1:18" ht="71.25">
      <c r="A52" s="3" t="s">
        <v>216</v>
      </c>
      <c r="B52" s="3">
        <v>47</v>
      </c>
      <c r="C52" s="3">
        <v>2</v>
      </c>
      <c r="D52" s="6">
        <v>8</v>
      </c>
      <c r="E52" s="6"/>
      <c r="F52" s="6"/>
      <c r="G52" s="6">
        <f t="shared" si="0"/>
        <v>8</v>
      </c>
      <c r="H52" s="3" t="s">
        <v>217</v>
      </c>
      <c r="K52" s="3" t="s">
        <v>708</v>
      </c>
      <c r="L52" s="3">
        <v>62</v>
      </c>
      <c r="M52" s="3">
        <v>1</v>
      </c>
      <c r="N52" s="6">
        <v>10</v>
      </c>
      <c r="O52" s="6"/>
      <c r="P52" s="6"/>
      <c r="Q52" s="6">
        <v>10</v>
      </c>
      <c r="R52" s="3" t="s">
        <v>706</v>
      </c>
    </row>
    <row r="53" spans="1:18" ht="71.25">
      <c r="A53" s="3" t="s">
        <v>218</v>
      </c>
      <c r="B53" s="3">
        <v>61</v>
      </c>
      <c r="C53" s="3">
        <v>4</v>
      </c>
      <c r="D53" s="6">
        <v>10</v>
      </c>
      <c r="E53" s="6"/>
      <c r="F53" s="6"/>
      <c r="G53" s="6">
        <f t="shared" si="0"/>
        <v>10</v>
      </c>
      <c r="H53" s="3" t="s">
        <v>212</v>
      </c>
      <c r="K53" s="3" t="s">
        <v>709</v>
      </c>
      <c r="L53" s="3">
        <v>64</v>
      </c>
      <c r="M53" s="3">
        <v>1</v>
      </c>
      <c r="N53" s="6">
        <v>6</v>
      </c>
      <c r="O53" s="6"/>
      <c r="P53" s="6"/>
      <c r="Q53" s="6">
        <v>6</v>
      </c>
      <c r="R53" s="3" t="s">
        <v>706</v>
      </c>
    </row>
    <row r="54" spans="1:18" ht="99.75">
      <c r="A54" s="3" t="s">
        <v>219</v>
      </c>
      <c r="B54" s="3">
        <v>59</v>
      </c>
      <c r="C54" s="3">
        <v>2</v>
      </c>
      <c r="D54" s="6">
        <v>10</v>
      </c>
      <c r="E54" s="6"/>
      <c r="F54" s="6"/>
      <c r="G54" s="6">
        <f t="shared" si="0"/>
        <v>10</v>
      </c>
      <c r="H54" s="3" t="s">
        <v>212</v>
      </c>
      <c r="K54" s="3" t="s">
        <v>710</v>
      </c>
      <c r="L54" s="3">
        <v>47</v>
      </c>
      <c r="M54" s="3">
        <v>2</v>
      </c>
      <c r="N54" s="6">
        <v>8</v>
      </c>
      <c r="O54" s="6"/>
      <c r="P54" s="6"/>
      <c r="Q54" s="6">
        <v>8</v>
      </c>
      <c r="R54" s="3" t="s">
        <v>711</v>
      </c>
    </row>
    <row r="55" spans="1:18" ht="57">
      <c r="A55" s="3" t="s">
        <v>220</v>
      </c>
      <c r="B55" s="3">
        <v>52</v>
      </c>
      <c r="C55" s="3">
        <v>7</v>
      </c>
      <c r="D55" s="6">
        <v>22</v>
      </c>
      <c r="E55" s="6"/>
      <c r="F55" s="6"/>
      <c r="G55" s="6">
        <f t="shared" si="0"/>
        <v>22</v>
      </c>
      <c r="H55" s="3" t="s">
        <v>221</v>
      </c>
      <c r="K55" s="3"/>
      <c r="L55" s="3"/>
      <c r="M55" s="3"/>
      <c r="N55" s="6"/>
      <c r="O55" s="6"/>
      <c r="P55" s="6"/>
      <c r="Q55" s="6"/>
      <c r="R55" s="3"/>
    </row>
    <row r="56" spans="1:18" ht="42.75">
      <c r="A56" s="3" t="s">
        <v>222</v>
      </c>
      <c r="B56" s="3">
        <v>60</v>
      </c>
      <c r="C56" s="3">
        <v>2</v>
      </c>
      <c r="D56" s="6">
        <v>10</v>
      </c>
      <c r="E56" s="6"/>
      <c r="F56" s="6"/>
      <c r="G56" s="6">
        <f t="shared" si="0"/>
        <v>10</v>
      </c>
      <c r="H56" s="3" t="s">
        <v>223</v>
      </c>
      <c r="K56" s="3" t="s">
        <v>712</v>
      </c>
      <c r="L56" s="3">
        <v>61</v>
      </c>
      <c r="M56" s="3">
        <v>4</v>
      </c>
      <c r="N56" s="6">
        <v>10</v>
      </c>
      <c r="O56" s="6"/>
      <c r="P56" s="6"/>
      <c r="Q56" s="6">
        <v>10</v>
      </c>
      <c r="R56" s="3" t="s">
        <v>713</v>
      </c>
    </row>
    <row r="57" spans="1:18" ht="28.5">
      <c r="A57" s="3" t="s">
        <v>224</v>
      </c>
      <c r="B57" s="3">
        <v>59</v>
      </c>
      <c r="C57" s="3">
        <v>1</v>
      </c>
      <c r="D57" s="6">
        <v>6</v>
      </c>
      <c r="E57" s="6"/>
      <c r="F57" s="6"/>
      <c r="G57" s="6">
        <f t="shared" si="0"/>
        <v>6</v>
      </c>
      <c r="H57" s="3" t="s">
        <v>225</v>
      </c>
      <c r="K57" s="3" t="s">
        <v>714</v>
      </c>
      <c r="L57" s="3">
        <v>59</v>
      </c>
      <c r="M57" s="3">
        <v>2</v>
      </c>
      <c r="N57" s="6">
        <v>10</v>
      </c>
      <c r="O57" s="6"/>
      <c r="P57" s="6"/>
      <c r="Q57" s="6">
        <v>10</v>
      </c>
      <c r="R57" s="3" t="s">
        <v>706</v>
      </c>
    </row>
    <row r="58" spans="1:18" ht="71.25">
      <c r="A58" s="3" t="s">
        <v>226</v>
      </c>
      <c r="B58" s="3">
        <v>68</v>
      </c>
      <c r="C58" s="3">
        <v>1</v>
      </c>
      <c r="D58" s="6">
        <v>6</v>
      </c>
      <c r="E58" s="6"/>
      <c r="F58" s="6"/>
      <c r="G58" s="6">
        <f t="shared" si="0"/>
        <v>6</v>
      </c>
      <c r="H58" s="3" t="s">
        <v>225</v>
      </c>
      <c r="K58" s="3" t="s">
        <v>715</v>
      </c>
      <c r="L58" s="3">
        <v>52</v>
      </c>
      <c r="M58" s="3">
        <v>7</v>
      </c>
      <c r="N58" s="6">
        <v>22</v>
      </c>
      <c r="O58" s="6"/>
      <c r="P58" s="6"/>
      <c r="Q58" s="6">
        <v>22</v>
      </c>
      <c r="R58" s="3" t="s">
        <v>716</v>
      </c>
    </row>
    <row r="59" spans="1:18" ht="42.75">
      <c r="A59" s="3" t="s">
        <v>227</v>
      </c>
      <c r="B59" s="3">
        <v>79</v>
      </c>
      <c r="C59" s="3">
        <v>1</v>
      </c>
      <c r="D59" s="6">
        <v>6</v>
      </c>
      <c r="E59" s="6"/>
      <c r="F59" s="6"/>
      <c r="G59" s="6">
        <f t="shared" si="0"/>
        <v>6</v>
      </c>
      <c r="H59" s="3" t="s">
        <v>225</v>
      </c>
      <c r="K59" s="3" t="s">
        <v>717</v>
      </c>
      <c r="L59" s="3">
        <v>60</v>
      </c>
      <c r="M59" s="3">
        <v>2</v>
      </c>
      <c r="N59" s="6">
        <v>10</v>
      </c>
      <c r="O59" s="6"/>
      <c r="P59" s="6"/>
      <c r="Q59" s="6">
        <v>10</v>
      </c>
      <c r="R59" s="3" t="s">
        <v>718</v>
      </c>
    </row>
    <row r="60" spans="1:18" ht="28.5">
      <c r="A60" s="3" t="s">
        <v>228</v>
      </c>
      <c r="B60" s="3">
        <v>59</v>
      </c>
      <c r="C60" s="3">
        <v>1</v>
      </c>
      <c r="D60" s="6">
        <v>6</v>
      </c>
      <c r="E60" s="6"/>
      <c r="F60" s="6"/>
      <c r="G60" s="6">
        <f t="shared" si="0"/>
        <v>6</v>
      </c>
      <c r="H60" s="3" t="s">
        <v>225</v>
      </c>
      <c r="K60" s="3" t="s">
        <v>719</v>
      </c>
      <c r="L60" s="3">
        <v>59</v>
      </c>
      <c r="M60" s="3">
        <v>1</v>
      </c>
      <c r="N60" s="6">
        <v>6</v>
      </c>
      <c r="O60" s="6"/>
      <c r="P60" s="6"/>
      <c r="Q60" s="6">
        <v>6</v>
      </c>
      <c r="R60" s="3" t="s">
        <v>720</v>
      </c>
    </row>
    <row r="61" spans="1:18" ht="28.5">
      <c r="A61" s="3" t="s">
        <v>229</v>
      </c>
      <c r="B61" s="3">
        <v>70</v>
      </c>
      <c r="C61" s="3">
        <v>1</v>
      </c>
      <c r="D61" s="6">
        <v>6</v>
      </c>
      <c r="E61" s="6"/>
      <c r="F61" s="6"/>
      <c r="G61" s="6">
        <f t="shared" si="0"/>
        <v>6</v>
      </c>
      <c r="H61" s="3" t="s">
        <v>225</v>
      </c>
      <c r="K61" s="3" t="s">
        <v>721</v>
      </c>
      <c r="L61" s="3">
        <v>68</v>
      </c>
      <c r="M61" s="3">
        <v>1</v>
      </c>
      <c r="N61" s="6">
        <v>6</v>
      </c>
      <c r="O61" s="6"/>
      <c r="P61" s="6"/>
      <c r="Q61" s="6">
        <v>6</v>
      </c>
      <c r="R61" s="3" t="s">
        <v>720</v>
      </c>
    </row>
    <row r="62" spans="1:18" ht="42.75">
      <c r="A62" s="3" t="s">
        <v>230</v>
      </c>
      <c r="B62" s="3">
        <v>41</v>
      </c>
      <c r="C62" s="3">
        <v>5</v>
      </c>
      <c r="D62" s="6">
        <v>6</v>
      </c>
      <c r="E62" s="6"/>
      <c r="F62" s="6"/>
      <c r="G62" s="6">
        <f t="shared" si="0"/>
        <v>6</v>
      </c>
      <c r="H62" s="3" t="s">
        <v>225</v>
      </c>
      <c r="K62" s="3" t="s">
        <v>722</v>
      </c>
      <c r="L62" s="3">
        <v>79</v>
      </c>
      <c r="M62" s="3">
        <v>1</v>
      </c>
      <c r="N62" s="6">
        <v>6</v>
      </c>
      <c r="O62" s="6"/>
      <c r="P62" s="6"/>
      <c r="Q62" s="6">
        <v>6</v>
      </c>
      <c r="R62" s="3" t="s">
        <v>720</v>
      </c>
    </row>
    <row r="63" spans="1:18" ht="28.5">
      <c r="A63" s="3" t="s">
        <v>231</v>
      </c>
      <c r="B63" s="3"/>
      <c r="C63" s="3"/>
      <c r="D63" s="6">
        <v>12</v>
      </c>
      <c r="E63" s="6"/>
      <c r="F63" s="6"/>
      <c r="G63" s="6">
        <f t="shared" si="0"/>
        <v>12</v>
      </c>
      <c r="H63" s="3" t="s">
        <v>232</v>
      </c>
      <c r="K63" s="3" t="s">
        <v>723</v>
      </c>
      <c r="L63" s="3">
        <v>59</v>
      </c>
      <c r="M63" s="3">
        <v>1</v>
      </c>
      <c r="N63" s="6">
        <v>6</v>
      </c>
      <c r="O63" s="6"/>
      <c r="P63" s="6"/>
      <c r="Q63" s="6">
        <v>6</v>
      </c>
      <c r="R63" s="3" t="s">
        <v>720</v>
      </c>
    </row>
    <row r="64" spans="1:18" ht="42.75">
      <c r="A64" s="3" t="s">
        <v>233</v>
      </c>
      <c r="B64" s="3">
        <v>36</v>
      </c>
      <c r="C64" s="3">
        <v>4</v>
      </c>
      <c r="D64" s="6">
        <v>10</v>
      </c>
      <c r="E64" s="6"/>
      <c r="F64" s="6"/>
      <c r="G64" s="6">
        <f t="shared" si="0"/>
        <v>10</v>
      </c>
      <c r="H64" s="3"/>
      <c r="K64" s="3" t="s">
        <v>724</v>
      </c>
      <c r="L64" s="3">
        <v>70</v>
      </c>
      <c r="M64" s="3">
        <v>1</v>
      </c>
      <c r="N64" s="6">
        <v>6</v>
      </c>
      <c r="O64" s="6"/>
      <c r="P64" s="6"/>
      <c r="Q64" s="6">
        <v>6</v>
      </c>
      <c r="R64" s="3" t="s">
        <v>720</v>
      </c>
    </row>
    <row r="65" spans="1:18" ht="28.5">
      <c r="A65" s="3" t="s">
        <v>234</v>
      </c>
      <c r="B65" s="3">
        <v>9</v>
      </c>
      <c r="C65" s="3"/>
      <c r="D65" s="6"/>
      <c r="E65" s="6"/>
      <c r="F65" s="6"/>
      <c r="G65" s="6"/>
      <c r="H65" s="3" t="s">
        <v>235</v>
      </c>
      <c r="K65" s="3" t="s">
        <v>725</v>
      </c>
      <c r="L65" s="3">
        <v>41</v>
      </c>
      <c r="M65" s="3">
        <v>5</v>
      </c>
      <c r="N65" s="6">
        <v>6</v>
      </c>
      <c r="O65" s="6"/>
      <c r="P65" s="6"/>
      <c r="Q65" s="6">
        <v>6</v>
      </c>
      <c r="R65" s="3" t="s">
        <v>720</v>
      </c>
    </row>
    <row r="66" spans="1:18" ht="57">
      <c r="A66" s="3" t="s">
        <v>236</v>
      </c>
      <c r="B66" s="3">
        <v>59</v>
      </c>
      <c r="C66" s="3">
        <v>4</v>
      </c>
      <c r="D66" s="6">
        <v>15</v>
      </c>
      <c r="E66" s="6"/>
      <c r="F66" s="6"/>
      <c r="G66" s="6">
        <f t="shared" ref="G66:G80" si="1">(D66+E66+F66)</f>
        <v>15</v>
      </c>
      <c r="H66" s="3" t="s">
        <v>237</v>
      </c>
      <c r="K66" s="3" t="s">
        <v>726</v>
      </c>
      <c r="L66" s="3"/>
      <c r="M66" s="3"/>
      <c r="N66" s="6">
        <v>12</v>
      </c>
      <c r="O66" s="6"/>
      <c r="P66" s="6"/>
      <c r="Q66" s="6">
        <v>12</v>
      </c>
      <c r="R66" s="3" t="s">
        <v>727</v>
      </c>
    </row>
    <row r="67" spans="1:18" ht="28.5">
      <c r="A67" s="3" t="s">
        <v>238</v>
      </c>
      <c r="B67" s="3">
        <v>49</v>
      </c>
      <c r="C67" s="3">
        <v>2</v>
      </c>
      <c r="D67" s="6">
        <v>10</v>
      </c>
      <c r="E67" s="6"/>
      <c r="F67" s="6"/>
      <c r="G67" s="6">
        <f t="shared" si="1"/>
        <v>10</v>
      </c>
      <c r="H67" s="3" t="s">
        <v>239</v>
      </c>
      <c r="K67" s="3" t="s">
        <v>728</v>
      </c>
      <c r="L67" s="3">
        <v>36</v>
      </c>
      <c r="M67" s="3">
        <v>4</v>
      </c>
      <c r="N67" s="6">
        <v>10</v>
      </c>
      <c r="O67" s="6"/>
      <c r="P67" s="6"/>
      <c r="Q67" s="6">
        <v>10</v>
      </c>
      <c r="R67" s="3"/>
    </row>
    <row r="68" spans="1:18" ht="28.5">
      <c r="A68" s="3" t="s">
        <v>240</v>
      </c>
      <c r="B68" s="3">
        <v>31</v>
      </c>
      <c r="C68" s="3">
        <v>2</v>
      </c>
      <c r="D68" s="6">
        <v>24</v>
      </c>
      <c r="E68" s="6"/>
      <c r="F68" s="6"/>
      <c r="G68" s="6">
        <f t="shared" si="1"/>
        <v>24</v>
      </c>
      <c r="H68" s="3" t="s">
        <v>241</v>
      </c>
      <c r="K68" s="3" t="s">
        <v>729</v>
      </c>
      <c r="L68" s="3">
        <v>9</v>
      </c>
      <c r="M68" s="3"/>
      <c r="N68" s="6"/>
      <c r="O68" s="6"/>
      <c r="P68" s="6"/>
      <c r="Q68" s="6"/>
      <c r="R68" s="3" t="s">
        <v>730</v>
      </c>
    </row>
    <row r="69" spans="1:18" ht="42.75">
      <c r="A69" s="3" t="s">
        <v>242</v>
      </c>
      <c r="B69" s="3">
        <v>36</v>
      </c>
      <c r="C69" s="3">
        <v>3</v>
      </c>
      <c r="D69" s="6">
        <v>15</v>
      </c>
      <c r="E69" s="6"/>
      <c r="F69" s="6"/>
      <c r="G69" s="6">
        <f t="shared" si="1"/>
        <v>15</v>
      </c>
      <c r="H69" s="3" t="s">
        <v>243</v>
      </c>
      <c r="K69" s="3" t="s">
        <v>731</v>
      </c>
      <c r="L69" s="3">
        <v>59</v>
      </c>
      <c r="M69" s="3">
        <v>4</v>
      </c>
      <c r="N69" s="6">
        <v>15</v>
      </c>
      <c r="O69" s="6"/>
      <c r="P69" s="6"/>
      <c r="Q69" s="6">
        <v>15</v>
      </c>
      <c r="R69" s="3" t="s">
        <v>732</v>
      </c>
    </row>
    <row r="70" spans="1:18" ht="28.5">
      <c r="A70" s="3" t="s">
        <v>244</v>
      </c>
      <c r="B70" s="3">
        <v>22</v>
      </c>
      <c r="C70" s="3">
        <v>1</v>
      </c>
      <c r="D70" s="6">
        <v>10</v>
      </c>
      <c r="E70" s="6"/>
      <c r="F70" s="6"/>
      <c r="G70" s="6">
        <f t="shared" si="1"/>
        <v>10</v>
      </c>
      <c r="H70" s="3" t="s">
        <v>245</v>
      </c>
      <c r="K70" s="3" t="s">
        <v>733</v>
      </c>
      <c r="L70" s="3">
        <v>49</v>
      </c>
      <c r="M70" s="3">
        <v>2</v>
      </c>
      <c r="N70" s="6">
        <v>10</v>
      </c>
      <c r="O70" s="6"/>
      <c r="P70" s="6"/>
      <c r="Q70" s="6">
        <v>10</v>
      </c>
      <c r="R70" s="3" t="s">
        <v>734</v>
      </c>
    </row>
    <row r="71" spans="1:18" ht="71.25">
      <c r="A71" s="3" t="s">
        <v>268</v>
      </c>
      <c r="B71" s="3" t="s">
        <v>246</v>
      </c>
      <c r="C71" s="3">
        <v>8</v>
      </c>
      <c r="D71" s="6">
        <v>56</v>
      </c>
      <c r="E71" s="6"/>
      <c r="F71" s="6"/>
      <c r="G71" s="6">
        <f t="shared" si="1"/>
        <v>56</v>
      </c>
      <c r="H71" s="3"/>
      <c r="K71" s="3" t="s">
        <v>735</v>
      </c>
      <c r="L71" s="3">
        <v>31</v>
      </c>
      <c r="M71" s="3">
        <v>2</v>
      </c>
      <c r="N71" s="6">
        <v>24</v>
      </c>
      <c r="O71" s="6"/>
      <c r="P71" s="6"/>
      <c r="Q71" s="6">
        <v>24</v>
      </c>
      <c r="R71" s="3" t="s">
        <v>736</v>
      </c>
    </row>
    <row r="72" spans="1:18" ht="42.75">
      <c r="A72" s="3" t="s">
        <v>247</v>
      </c>
      <c r="B72" s="3">
        <v>58</v>
      </c>
      <c r="C72" s="3">
        <v>1</v>
      </c>
      <c r="D72" s="6">
        <v>8</v>
      </c>
      <c r="E72" s="6"/>
      <c r="F72" s="6"/>
      <c r="G72" s="6">
        <f t="shared" si="1"/>
        <v>8</v>
      </c>
      <c r="H72" s="3" t="s">
        <v>248</v>
      </c>
      <c r="K72" s="3" t="s">
        <v>737</v>
      </c>
      <c r="L72" s="3">
        <v>36</v>
      </c>
      <c r="M72" s="3">
        <v>3</v>
      </c>
      <c r="N72" s="6">
        <v>15</v>
      </c>
      <c r="O72" s="6"/>
      <c r="P72" s="6"/>
      <c r="Q72" s="6">
        <v>15</v>
      </c>
      <c r="R72" s="3" t="s">
        <v>738</v>
      </c>
    </row>
    <row r="73" spans="1:18" ht="42.75">
      <c r="A73" s="3" t="s">
        <v>249</v>
      </c>
      <c r="B73" s="3" t="s">
        <v>250</v>
      </c>
      <c r="C73" s="3">
        <v>10</v>
      </c>
      <c r="D73" s="6">
        <v>55</v>
      </c>
      <c r="E73" s="6"/>
      <c r="F73" s="6"/>
      <c r="G73" s="6">
        <f t="shared" si="1"/>
        <v>55</v>
      </c>
      <c r="H73" s="3" t="s">
        <v>251</v>
      </c>
      <c r="K73" s="3" t="s">
        <v>739</v>
      </c>
      <c r="L73" s="3">
        <v>22</v>
      </c>
      <c r="M73" s="3">
        <v>1</v>
      </c>
      <c r="N73" s="6">
        <v>10</v>
      </c>
      <c r="O73" s="6"/>
      <c r="P73" s="6"/>
      <c r="Q73" s="6">
        <v>10</v>
      </c>
      <c r="R73" s="3" t="s">
        <v>740</v>
      </c>
    </row>
    <row r="74" spans="1:18" ht="42.75">
      <c r="A74" s="3" t="s">
        <v>252</v>
      </c>
      <c r="B74" s="3" t="s">
        <v>253</v>
      </c>
      <c r="C74" s="3">
        <v>5</v>
      </c>
      <c r="D74" s="6">
        <v>27.5</v>
      </c>
      <c r="E74" s="6"/>
      <c r="F74" s="6"/>
      <c r="G74" s="6">
        <f t="shared" si="1"/>
        <v>27.5</v>
      </c>
      <c r="H74" s="3" t="s">
        <v>251</v>
      </c>
      <c r="K74" s="3" t="s">
        <v>741</v>
      </c>
      <c r="L74" s="3" t="s">
        <v>246</v>
      </c>
      <c r="M74" s="3">
        <v>8</v>
      </c>
      <c r="N74" s="6">
        <v>56</v>
      </c>
      <c r="O74" s="6"/>
      <c r="P74" s="6"/>
      <c r="Q74" s="6">
        <v>56</v>
      </c>
      <c r="R74" s="3"/>
    </row>
    <row r="75" spans="1:18" ht="57">
      <c r="A75" s="3" t="s">
        <v>254</v>
      </c>
      <c r="B75" s="3">
        <v>30</v>
      </c>
      <c r="C75" s="3">
        <v>3</v>
      </c>
      <c r="D75" s="6">
        <v>100</v>
      </c>
      <c r="E75" s="6"/>
      <c r="F75" s="6"/>
      <c r="G75" s="6">
        <f t="shared" si="1"/>
        <v>100</v>
      </c>
      <c r="H75" s="3" t="s">
        <v>196</v>
      </c>
      <c r="K75" s="3" t="s">
        <v>742</v>
      </c>
      <c r="L75" s="3">
        <v>58</v>
      </c>
      <c r="M75" s="3">
        <v>1</v>
      </c>
      <c r="N75" s="6">
        <v>8</v>
      </c>
      <c r="O75" s="6"/>
      <c r="P75" s="6"/>
      <c r="Q75" s="6">
        <v>8</v>
      </c>
      <c r="R75" s="3" t="s">
        <v>743</v>
      </c>
    </row>
    <row r="76" spans="1:18" ht="28.5">
      <c r="A76" s="3" t="s">
        <v>255</v>
      </c>
      <c r="B76" s="3">
        <v>20</v>
      </c>
      <c r="C76" s="3">
        <v>1</v>
      </c>
      <c r="D76" s="6">
        <v>22</v>
      </c>
      <c r="E76" s="6"/>
      <c r="F76" s="6"/>
      <c r="G76" s="6">
        <f t="shared" si="1"/>
        <v>22</v>
      </c>
      <c r="H76" s="3" t="s">
        <v>36</v>
      </c>
      <c r="K76" s="3" t="s">
        <v>744</v>
      </c>
      <c r="L76" s="3" t="s">
        <v>250</v>
      </c>
      <c r="M76" s="3">
        <v>10</v>
      </c>
      <c r="N76" s="6">
        <v>55</v>
      </c>
      <c r="O76" s="6"/>
      <c r="P76" s="6"/>
      <c r="Q76" s="6">
        <v>55</v>
      </c>
      <c r="R76" s="3" t="s">
        <v>745</v>
      </c>
    </row>
    <row r="77" spans="1:18" ht="42.75">
      <c r="A77" s="3" t="s">
        <v>256</v>
      </c>
      <c r="B77" s="3">
        <v>50</v>
      </c>
      <c r="C77" s="3">
        <v>2</v>
      </c>
      <c r="D77" s="6">
        <v>20.75</v>
      </c>
      <c r="E77" s="6"/>
      <c r="F77" s="6"/>
      <c r="G77" s="6">
        <f t="shared" si="1"/>
        <v>20.75</v>
      </c>
      <c r="H77" s="3" t="s">
        <v>257</v>
      </c>
      <c r="K77" s="3" t="s">
        <v>746</v>
      </c>
      <c r="L77" s="3" t="s">
        <v>253</v>
      </c>
      <c r="M77" s="3">
        <v>5</v>
      </c>
      <c r="N77" s="6">
        <v>27.5</v>
      </c>
      <c r="O77" s="6"/>
      <c r="P77" s="6"/>
      <c r="Q77" s="6">
        <v>27.5</v>
      </c>
      <c r="R77" s="3" t="s">
        <v>745</v>
      </c>
    </row>
    <row r="78" spans="1:18">
      <c r="A78" s="3" t="s">
        <v>258</v>
      </c>
      <c r="B78" s="3">
        <v>50</v>
      </c>
      <c r="C78" s="3">
        <v>1</v>
      </c>
      <c r="D78" s="6">
        <v>7</v>
      </c>
      <c r="E78" s="6"/>
      <c r="F78" s="6"/>
      <c r="G78" s="6">
        <f t="shared" si="1"/>
        <v>7</v>
      </c>
      <c r="H78" s="3"/>
      <c r="K78" s="3" t="s">
        <v>747</v>
      </c>
      <c r="L78" s="3">
        <v>30</v>
      </c>
      <c r="M78" s="3">
        <v>3</v>
      </c>
      <c r="N78" s="6">
        <v>100</v>
      </c>
      <c r="O78" s="6"/>
      <c r="P78" s="6"/>
      <c r="Q78" s="6">
        <v>100</v>
      </c>
      <c r="R78" s="3" t="s">
        <v>690</v>
      </c>
    </row>
    <row r="79" spans="1:18">
      <c r="A79" s="3" t="s">
        <v>258</v>
      </c>
      <c r="B79" s="3">
        <v>51</v>
      </c>
      <c r="C79" s="3">
        <v>1</v>
      </c>
      <c r="D79" s="6">
        <v>7</v>
      </c>
      <c r="E79" s="6"/>
      <c r="F79" s="6"/>
      <c r="G79" s="6">
        <f t="shared" si="1"/>
        <v>7</v>
      </c>
      <c r="H79" s="3"/>
      <c r="K79" s="3" t="s">
        <v>748</v>
      </c>
      <c r="L79" s="3">
        <v>20</v>
      </c>
      <c r="M79" s="3">
        <v>1</v>
      </c>
      <c r="N79" s="6">
        <v>22</v>
      </c>
      <c r="O79" s="6"/>
      <c r="P79" s="6"/>
      <c r="Q79" s="6">
        <v>22</v>
      </c>
      <c r="R79" s="3" t="s">
        <v>749</v>
      </c>
    </row>
    <row r="80" spans="1:18">
      <c r="A80" s="3" t="s">
        <v>258</v>
      </c>
      <c r="B80" s="3">
        <v>39</v>
      </c>
      <c r="C80" s="3">
        <v>1</v>
      </c>
      <c r="D80" s="6">
        <v>7</v>
      </c>
      <c r="E80" s="6"/>
      <c r="F80" s="6"/>
      <c r="G80" s="6">
        <f t="shared" si="1"/>
        <v>7</v>
      </c>
      <c r="H80" s="3"/>
      <c r="K80" s="3" t="s">
        <v>750</v>
      </c>
      <c r="L80" s="3">
        <v>50</v>
      </c>
      <c r="M80" s="3">
        <v>2</v>
      </c>
      <c r="N80" s="6">
        <v>20.75</v>
      </c>
      <c r="O80" s="6"/>
      <c r="P80" s="6"/>
      <c r="Q80" s="6">
        <v>20.75</v>
      </c>
      <c r="R80" s="3" t="s">
        <v>751</v>
      </c>
    </row>
    <row r="81" spans="1:17">
      <c r="A81" s="2" t="s">
        <v>102</v>
      </c>
      <c r="B81" s="2"/>
      <c r="C81" s="2">
        <f>SUM(C3:C80)</f>
        <v>148</v>
      </c>
      <c r="D81" s="2"/>
      <c r="E81" s="2"/>
      <c r="F81" s="2"/>
      <c r="G81" s="5">
        <f>SUM(G3:G80)</f>
        <v>1924.25</v>
      </c>
      <c r="K81" s="2" t="s">
        <v>752</v>
      </c>
      <c r="L81" s="2">
        <v>50</v>
      </c>
      <c r="M81" s="2">
        <v>1</v>
      </c>
      <c r="N81" s="2">
        <v>7</v>
      </c>
      <c r="O81" s="2"/>
      <c r="P81" s="2"/>
      <c r="Q81" s="5">
        <v>7</v>
      </c>
    </row>
    <row r="82" spans="1:17">
      <c r="K82" t="s">
        <v>752</v>
      </c>
      <c r="L82">
        <v>51</v>
      </c>
      <c r="M82">
        <v>1</v>
      </c>
      <c r="N82">
        <v>7</v>
      </c>
      <c r="Q82">
        <v>7</v>
      </c>
    </row>
    <row r="83" spans="1:17">
      <c r="K83" t="s">
        <v>752</v>
      </c>
      <c r="L83">
        <v>39</v>
      </c>
      <c r="M83">
        <v>1</v>
      </c>
      <c r="N83">
        <v>7</v>
      </c>
      <c r="Q83">
        <v>7</v>
      </c>
    </row>
    <row r="84" spans="1:17">
      <c r="K84" t="s">
        <v>474</v>
      </c>
      <c r="M84">
        <v>148</v>
      </c>
      <c r="Q84">
        <v>1924.25</v>
      </c>
    </row>
    <row r="89" spans="1:17">
      <c r="B89" t="s">
        <v>270</v>
      </c>
      <c r="C89" t="s">
        <v>271</v>
      </c>
      <c r="D89" t="s">
        <v>272</v>
      </c>
      <c r="F89" t="s">
        <v>270</v>
      </c>
      <c r="G89" t="s">
        <v>271</v>
      </c>
      <c r="H89" t="s">
        <v>272</v>
      </c>
    </row>
    <row r="90" spans="1:17">
      <c r="B90">
        <v>6</v>
      </c>
      <c r="C90">
        <v>7</v>
      </c>
      <c r="D90" s="1">
        <f t="shared" ref="D90:D112" si="2">B90/365</f>
        <v>1.643835616438356E-2</v>
      </c>
      <c r="F90" s="4">
        <v>5.5</v>
      </c>
      <c r="G90">
        <v>10</v>
      </c>
      <c r="H90">
        <v>0.01</v>
      </c>
      <c r="J90">
        <f>5.5/365</f>
        <v>1.5068493150684932E-2</v>
      </c>
    </row>
    <row r="91" spans="1:17">
      <c r="B91">
        <v>7</v>
      </c>
      <c r="C91">
        <v>11</v>
      </c>
      <c r="D91" s="1">
        <f t="shared" si="2"/>
        <v>1.9178082191780823E-2</v>
      </c>
      <c r="F91">
        <v>6</v>
      </c>
      <c r="G91">
        <v>7</v>
      </c>
      <c r="H91">
        <v>1.643835616438356E-2</v>
      </c>
    </row>
    <row r="92" spans="1:17">
      <c r="B92">
        <v>8</v>
      </c>
      <c r="C92">
        <v>2</v>
      </c>
      <c r="D92" s="1">
        <f t="shared" si="2"/>
        <v>2.1917808219178082E-2</v>
      </c>
      <c r="F92">
        <v>7</v>
      </c>
      <c r="G92">
        <v>11</v>
      </c>
      <c r="H92">
        <v>1.9178082191780823E-2</v>
      </c>
    </row>
    <row r="93" spans="1:17">
      <c r="B93">
        <v>9</v>
      </c>
      <c r="C93">
        <v>2</v>
      </c>
      <c r="D93" s="1">
        <f t="shared" si="2"/>
        <v>2.4657534246575342E-2</v>
      </c>
      <c r="F93">
        <v>8</v>
      </c>
      <c r="G93">
        <v>2</v>
      </c>
      <c r="H93">
        <v>2.1917808219178082E-2</v>
      </c>
    </row>
    <row r="94" spans="1:17">
      <c r="B94">
        <v>10</v>
      </c>
      <c r="C94">
        <v>8</v>
      </c>
      <c r="D94" s="1">
        <f t="shared" si="2"/>
        <v>2.7397260273972601E-2</v>
      </c>
      <c r="F94">
        <v>9</v>
      </c>
      <c r="G94">
        <v>2</v>
      </c>
      <c r="H94">
        <v>2.4657534246575342E-2</v>
      </c>
    </row>
    <row r="95" spans="1:17">
      <c r="B95">
        <v>12</v>
      </c>
      <c r="C95">
        <v>4</v>
      </c>
      <c r="D95" s="1">
        <f t="shared" si="2"/>
        <v>3.287671232876712E-2</v>
      </c>
      <c r="F95">
        <v>10</v>
      </c>
      <c r="G95">
        <v>8</v>
      </c>
      <c r="H95">
        <v>2.7397260273972601E-2</v>
      </c>
    </row>
    <row r="96" spans="1:17">
      <c r="B96">
        <v>13</v>
      </c>
      <c r="C96">
        <v>2</v>
      </c>
      <c r="D96" s="1">
        <f t="shared" si="2"/>
        <v>3.5616438356164383E-2</v>
      </c>
      <c r="F96">
        <v>12</v>
      </c>
      <c r="G96">
        <v>4</v>
      </c>
      <c r="H96">
        <v>3.287671232876712E-2</v>
      </c>
    </row>
    <row r="97" spans="2:8">
      <c r="B97">
        <v>15</v>
      </c>
      <c r="C97">
        <v>5</v>
      </c>
      <c r="D97" s="1">
        <f t="shared" si="2"/>
        <v>4.1095890410958902E-2</v>
      </c>
      <c r="F97">
        <v>13</v>
      </c>
      <c r="G97">
        <v>2</v>
      </c>
      <c r="H97">
        <v>3.5616438356164383E-2</v>
      </c>
    </row>
    <row r="98" spans="2:8">
      <c r="B98">
        <v>18</v>
      </c>
      <c r="C98">
        <v>1</v>
      </c>
      <c r="D98" s="1">
        <f t="shared" si="2"/>
        <v>4.9315068493150684E-2</v>
      </c>
      <c r="F98">
        <v>15</v>
      </c>
      <c r="G98">
        <v>5</v>
      </c>
      <c r="H98">
        <v>4.1095890410958902E-2</v>
      </c>
    </row>
    <row r="99" spans="2:8">
      <c r="B99">
        <v>21</v>
      </c>
      <c r="C99">
        <v>1</v>
      </c>
      <c r="D99" s="1">
        <f t="shared" si="2"/>
        <v>5.7534246575342465E-2</v>
      </c>
      <c r="F99">
        <v>18</v>
      </c>
      <c r="G99">
        <v>1</v>
      </c>
      <c r="H99">
        <v>4.9315068493150684E-2</v>
      </c>
    </row>
    <row r="100" spans="2:8">
      <c r="B100">
        <v>22</v>
      </c>
      <c r="C100">
        <v>2</v>
      </c>
      <c r="D100" s="1">
        <f t="shared" si="2"/>
        <v>6.0273972602739728E-2</v>
      </c>
      <c r="F100">
        <v>21</v>
      </c>
      <c r="G100">
        <v>1</v>
      </c>
      <c r="H100">
        <v>5.7534246575342465E-2</v>
      </c>
    </row>
    <row r="101" spans="2:8">
      <c r="B101">
        <v>24</v>
      </c>
      <c r="C101">
        <v>2</v>
      </c>
      <c r="D101" s="1">
        <f t="shared" si="2"/>
        <v>6.575342465753424E-2</v>
      </c>
      <c r="F101">
        <v>22</v>
      </c>
      <c r="G101">
        <v>2</v>
      </c>
      <c r="H101">
        <v>6.0273972602739728E-2</v>
      </c>
    </row>
    <row r="102" spans="2:8">
      <c r="B102">
        <v>25</v>
      </c>
      <c r="C102">
        <v>7</v>
      </c>
      <c r="D102" s="1">
        <f t="shared" si="2"/>
        <v>6.8493150684931503E-2</v>
      </c>
      <c r="F102">
        <v>24</v>
      </c>
      <c r="G102">
        <v>2</v>
      </c>
      <c r="H102">
        <v>6.575342465753424E-2</v>
      </c>
    </row>
    <row r="103" spans="2:8">
      <c r="B103">
        <v>28</v>
      </c>
      <c r="C103">
        <v>2</v>
      </c>
      <c r="D103" s="1">
        <f t="shared" si="2"/>
        <v>7.6712328767123292E-2</v>
      </c>
      <c r="F103">
        <v>25</v>
      </c>
      <c r="G103">
        <v>7</v>
      </c>
      <c r="H103">
        <v>6.8493150684931503E-2</v>
      </c>
    </row>
    <row r="104" spans="2:8">
      <c r="B104">
        <v>30</v>
      </c>
      <c r="C104">
        <v>7</v>
      </c>
      <c r="D104" s="1">
        <f t="shared" si="2"/>
        <v>8.2191780821917804E-2</v>
      </c>
      <c r="F104">
        <v>28</v>
      </c>
      <c r="G104">
        <v>2</v>
      </c>
      <c r="H104">
        <v>7.6712328767123292E-2</v>
      </c>
    </row>
    <row r="105" spans="2:8">
      <c r="B105">
        <v>34</v>
      </c>
      <c r="C105">
        <v>1</v>
      </c>
      <c r="D105" s="1">
        <f t="shared" si="2"/>
        <v>9.3150684931506855E-2</v>
      </c>
      <c r="F105">
        <v>30</v>
      </c>
      <c r="G105">
        <v>7</v>
      </c>
      <c r="H105">
        <v>8.2191780821917804E-2</v>
      </c>
    </row>
    <row r="106" spans="2:8">
      <c r="B106">
        <v>44</v>
      </c>
      <c r="C106">
        <v>3</v>
      </c>
      <c r="D106" s="1">
        <f t="shared" si="2"/>
        <v>0.12054794520547946</v>
      </c>
      <c r="F106">
        <v>34</v>
      </c>
      <c r="G106">
        <v>1</v>
      </c>
      <c r="H106">
        <v>9.3150684931506855E-2</v>
      </c>
    </row>
    <row r="107" spans="2:8">
      <c r="B107">
        <v>50</v>
      </c>
      <c r="C107">
        <v>3</v>
      </c>
      <c r="D107" s="1">
        <f t="shared" si="2"/>
        <v>0.13698630136986301</v>
      </c>
      <c r="F107">
        <v>44</v>
      </c>
      <c r="G107">
        <v>3</v>
      </c>
      <c r="H107">
        <v>0.12054794520547946</v>
      </c>
    </row>
    <row r="108" spans="2:8">
      <c r="B108">
        <v>55</v>
      </c>
      <c r="C108">
        <v>1</v>
      </c>
      <c r="D108" s="1">
        <f t="shared" si="2"/>
        <v>0.15068493150684931</v>
      </c>
      <c r="F108">
        <v>50</v>
      </c>
      <c r="G108">
        <v>3</v>
      </c>
      <c r="H108">
        <v>0.13698630136986301</v>
      </c>
    </row>
    <row r="109" spans="2:8">
      <c r="D109" s="1"/>
      <c r="F109">
        <v>55</v>
      </c>
      <c r="G109">
        <v>1</v>
      </c>
      <c r="H109">
        <v>0.15068493150684931</v>
      </c>
    </row>
    <row r="110" spans="2:8">
      <c r="B110">
        <v>80</v>
      </c>
      <c r="C110">
        <v>1</v>
      </c>
      <c r="D110" s="1">
        <f t="shared" si="2"/>
        <v>0.21917808219178081</v>
      </c>
    </row>
    <row r="111" spans="2:8">
      <c r="B111">
        <v>100</v>
      </c>
      <c r="C111">
        <v>1</v>
      </c>
      <c r="D111" s="1">
        <f t="shared" si="2"/>
        <v>0.27397260273972601</v>
      </c>
      <c r="F111">
        <v>80</v>
      </c>
      <c r="G111">
        <v>1</v>
      </c>
      <c r="H111">
        <v>0.21917808219178081</v>
      </c>
    </row>
    <row r="112" spans="2:8">
      <c r="B112">
        <v>420</v>
      </c>
      <c r="C112">
        <v>1</v>
      </c>
      <c r="D112" s="1">
        <f t="shared" si="2"/>
        <v>1.1506849315068493</v>
      </c>
      <c r="F112">
        <v>100</v>
      </c>
      <c r="G112">
        <v>1</v>
      </c>
      <c r="H112">
        <v>0.27397260273972601</v>
      </c>
    </row>
    <row r="113" spans="6:8">
      <c r="F113">
        <v>420</v>
      </c>
      <c r="G113">
        <v>1</v>
      </c>
      <c r="H113">
        <v>1.1506849315068493</v>
      </c>
    </row>
  </sheetData>
  <sortState xmlns:xlrd2="http://schemas.microsoft.com/office/spreadsheetml/2017/richdata2" ref="B84:B123">
    <sortCondition ref="B84:B123"/>
  </sortState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H13" sqref="H13"/>
    </sheetView>
  </sheetViews>
  <sheetFormatPr defaultRowHeight="14.25"/>
  <cols>
    <col min="2" max="2" width="29.06640625" customWidth="1"/>
    <col min="3" max="3" width="20.19921875" customWidth="1"/>
  </cols>
  <sheetData>
    <row r="1" spans="1:6">
      <c r="A1" t="s">
        <v>136</v>
      </c>
    </row>
    <row r="3" spans="1:6" ht="57">
      <c r="A3" s="26"/>
      <c r="B3" s="26" t="s">
        <v>138</v>
      </c>
      <c r="C3" s="3" t="s">
        <v>137</v>
      </c>
      <c r="D3" s="26" t="s">
        <v>149</v>
      </c>
      <c r="E3" s="26" t="s">
        <v>150</v>
      </c>
      <c r="F3" s="26" t="s">
        <v>151</v>
      </c>
    </row>
    <row r="4" spans="1:6">
      <c r="A4" s="26"/>
      <c r="B4" s="26" t="s">
        <v>103</v>
      </c>
      <c r="C4" s="3">
        <v>2</v>
      </c>
      <c r="D4" s="26">
        <v>1</v>
      </c>
      <c r="E4" s="26">
        <f>D4*12</f>
        <v>12</v>
      </c>
      <c r="F4" s="26">
        <f>E4/C4</f>
        <v>6</v>
      </c>
    </row>
    <row r="5" spans="1:6">
      <c r="A5" s="26"/>
      <c r="B5" s="26" t="s">
        <v>104</v>
      </c>
      <c r="C5" s="3">
        <v>1</v>
      </c>
      <c r="D5" s="26">
        <v>0.25</v>
      </c>
      <c r="E5" s="26">
        <f>D5*12</f>
        <v>3</v>
      </c>
      <c r="F5" s="26">
        <f>E5/C5</f>
        <v>3</v>
      </c>
    </row>
    <row r="6" spans="1:6">
      <c r="A6" s="26"/>
      <c r="B6" s="26" t="s">
        <v>105</v>
      </c>
      <c r="C6" s="3">
        <v>2</v>
      </c>
      <c r="D6" s="26">
        <v>0.5</v>
      </c>
      <c r="E6" s="26">
        <f t="shared" ref="E6:E40" si="0">D6*12</f>
        <v>6</v>
      </c>
      <c r="F6" s="26">
        <f t="shared" ref="F6:F40" si="1">E6/C6</f>
        <v>3</v>
      </c>
    </row>
    <row r="7" spans="1:6">
      <c r="A7" s="26"/>
      <c r="B7" s="26" t="s">
        <v>106</v>
      </c>
      <c r="C7" s="3">
        <v>2</v>
      </c>
      <c r="D7" s="26">
        <v>0.5</v>
      </c>
      <c r="E7" s="26">
        <f t="shared" si="0"/>
        <v>6</v>
      </c>
      <c r="F7" s="26">
        <f t="shared" si="1"/>
        <v>3</v>
      </c>
    </row>
    <row r="8" spans="1:6">
      <c r="A8" s="26"/>
      <c r="B8" s="26" t="s">
        <v>107</v>
      </c>
      <c r="C8" s="3">
        <v>1</v>
      </c>
      <c r="D8" s="26">
        <v>0.25</v>
      </c>
      <c r="E8" s="26">
        <f t="shared" si="0"/>
        <v>3</v>
      </c>
      <c r="F8" s="26">
        <f t="shared" si="1"/>
        <v>3</v>
      </c>
    </row>
    <row r="9" spans="1:6">
      <c r="A9" s="26"/>
      <c r="B9" s="26" t="s">
        <v>108</v>
      </c>
      <c r="C9" s="3">
        <v>2</v>
      </c>
      <c r="D9" s="26">
        <v>0.5</v>
      </c>
      <c r="E9" s="26">
        <f t="shared" si="0"/>
        <v>6</v>
      </c>
      <c r="F9" s="26">
        <f t="shared" si="1"/>
        <v>3</v>
      </c>
    </row>
    <row r="10" spans="1:6">
      <c r="A10" s="26"/>
      <c r="B10" s="26" t="s">
        <v>109</v>
      </c>
      <c r="C10" s="3">
        <v>1</v>
      </c>
      <c r="D10" s="26">
        <v>0.25</v>
      </c>
      <c r="E10" s="26">
        <f t="shared" si="0"/>
        <v>3</v>
      </c>
      <c r="F10" s="26">
        <f t="shared" si="1"/>
        <v>3</v>
      </c>
    </row>
    <row r="11" spans="1:6">
      <c r="A11" s="26"/>
      <c r="B11" s="26" t="s">
        <v>110</v>
      </c>
      <c r="C11" s="3">
        <v>1</v>
      </c>
      <c r="D11" s="26">
        <v>0.25</v>
      </c>
      <c r="E11" s="26">
        <f t="shared" si="0"/>
        <v>3</v>
      </c>
      <c r="F11" s="26">
        <f t="shared" si="1"/>
        <v>3</v>
      </c>
    </row>
    <row r="12" spans="1:6">
      <c r="A12" s="26"/>
      <c r="B12" s="26" t="s">
        <v>111</v>
      </c>
      <c r="C12" s="3">
        <v>1</v>
      </c>
      <c r="D12" s="26">
        <v>0.25</v>
      </c>
      <c r="E12" s="26">
        <f t="shared" si="0"/>
        <v>3</v>
      </c>
      <c r="F12" s="26">
        <f t="shared" si="1"/>
        <v>3</v>
      </c>
    </row>
    <row r="13" spans="1:6">
      <c r="A13" s="26"/>
      <c r="B13" s="26" t="s">
        <v>112</v>
      </c>
      <c r="C13" s="3">
        <v>1</v>
      </c>
      <c r="D13" s="26">
        <v>0.25</v>
      </c>
      <c r="E13" s="26">
        <f t="shared" si="0"/>
        <v>3</v>
      </c>
      <c r="F13" s="26">
        <f t="shared" si="1"/>
        <v>3</v>
      </c>
    </row>
    <row r="14" spans="1:6">
      <c r="A14" s="26"/>
      <c r="B14" s="26" t="s">
        <v>113</v>
      </c>
      <c r="C14" s="3">
        <v>1</v>
      </c>
      <c r="D14" s="26">
        <v>0.25</v>
      </c>
      <c r="E14" s="26">
        <f t="shared" si="0"/>
        <v>3</v>
      </c>
      <c r="F14" s="26">
        <f t="shared" si="1"/>
        <v>3</v>
      </c>
    </row>
    <row r="15" spans="1:6">
      <c r="A15" s="26"/>
      <c r="B15" s="26" t="s">
        <v>114</v>
      </c>
      <c r="C15" s="3">
        <v>1</v>
      </c>
      <c r="D15" s="26">
        <v>0.25</v>
      </c>
      <c r="E15" s="26">
        <f t="shared" si="0"/>
        <v>3</v>
      </c>
      <c r="F15" s="26">
        <f t="shared" si="1"/>
        <v>3</v>
      </c>
    </row>
    <row r="16" spans="1:6" ht="28.5">
      <c r="A16" s="26"/>
      <c r="B16" s="26" t="s">
        <v>115</v>
      </c>
      <c r="C16" s="3">
        <v>1</v>
      </c>
      <c r="D16" s="26">
        <v>0.25</v>
      </c>
      <c r="E16" s="26">
        <f t="shared" si="0"/>
        <v>3</v>
      </c>
      <c r="F16" s="26">
        <f t="shared" si="1"/>
        <v>3</v>
      </c>
    </row>
    <row r="17" spans="1:6">
      <c r="A17" s="26" t="s">
        <v>116</v>
      </c>
      <c r="B17" s="26" t="s">
        <v>117</v>
      </c>
      <c r="C17" s="3">
        <v>1</v>
      </c>
      <c r="D17" s="26">
        <v>0.25</v>
      </c>
      <c r="E17" s="26">
        <f t="shared" si="0"/>
        <v>3</v>
      </c>
      <c r="F17" s="26">
        <f t="shared" si="1"/>
        <v>3</v>
      </c>
    </row>
    <row r="18" spans="1:6">
      <c r="A18" s="26" t="s">
        <v>116</v>
      </c>
      <c r="B18" s="26" t="s">
        <v>118</v>
      </c>
      <c r="C18" s="3">
        <v>1</v>
      </c>
      <c r="D18" s="26">
        <v>0.25</v>
      </c>
      <c r="E18" s="26">
        <f t="shared" si="0"/>
        <v>3</v>
      </c>
      <c r="F18" s="26">
        <f t="shared" si="1"/>
        <v>3</v>
      </c>
    </row>
    <row r="19" spans="1:6">
      <c r="A19" s="26" t="s">
        <v>116</v>
      </c>
      <c r="B19" s="26" t="s">
        <v>119</v>
      </c>
      <c r="C19" s="3">
        <v>1</v>
      </c>
      <c r="D19" s="26">
        <v>0.25</v>
      </c>
      <c r="E19" s="26">
        <f t="shared" si="0"/>
        <v>3</v>
      </c>
      <c r="F19" s="26">
        <f t="shared" si="1"/>
        <v>3</v>
      </c>
    </row>
    <row r="20" spans="1:6">
      <c r="A20" s="26" t="s">
        <v>148</v>
      </c>
      <c r="B20" s="26" t="s">
        <v>120</v>
      </c>
      <c r="C20" s="3">
        <v>1</v>
      </c>
      <c r="D20" s="26">
        <v>0.25</v>
      </c>
      <c r="E20" s="26">
        <f t="shared" si="0"/>
        <v>3</v>
      </c>
      <c r="F20" s="26">
        <f t="shared" si="1"/>
        <v>3</v>
      </c>
    </row>
    <row r="21" spans="1:6">
      <c r="A21" s="26" t="s">
        <v>148</v>
      </c>
      <c r="B21" s="26" t="s">
        <v>121</v>
      </c>
      <c r="C21" s="3">
        <v>1</v>
      </c>
      <c r="D21" s="26">
        <v>0.25</v>
      </c>
      <c r="E21" s="26">
        <f t="shared" si="0"/>
        <v>3</v>
      </c>
      <c r="F21" s="26">
        <f t="shared" si="1"/>
        <v>3</v>
      </c>
    </row>
    <row r="22" spans="1:6">
      <c r="A22" s="26" t="s">
        <v>148</v>
      </c>
      <c r="B22" s="26" t="s">
        <v>122</v>
      </c>
      <c r="C22" s="3">
        <v>1</v>
      </c>
      <c r="D22" s="26">
        <v>0.25</v>
      </c>
      <c r="E22" s="26">
        <f t="shared" si="0"/>
        <v>3</v>
      </c>
      <c r="F22" s="26">
        <f t="shared" si="1"/>
        <v>3</v>
      </c>
    </row>
    <row r="23" spans="1:6">
      <c r="A23" s="26" t="s">
        <v>148</v>
      </c>
      <c r="B23" s="26" t="s">
        <v>123</v>
      </c>
      <c r="C23" s="3">
        <v>1</v>
      </c>
      <c r="D23" s="26">
        <v>0.25</v>
      </c>
      <c r="E23" s="26">
        <f t="shared" si="0"/>
        <v>3</v>
      </c>
      <c r="F23" s="26">
        <f t="shared" si="1"/>
        <v>3</v>
      </c>
    </row>
    <row r="24" spans="1:6">
      <c r="A24" s="26" t="s">
        <v>148</v>
      </c>
      <c r="B24" s="26" t="s">
        <v>124</v>
      </c>
      <c r="C24" s="3">
        <v>1</v>
      </c>
      <c r="D24" s="26">
        <v>0.25</v>
      </c>
      <c r="E24" s="26">
        <f t="shared" si="0"/>
        <v>3</v>
      </c>
      <c r="F24" s="26">
        <f t="shared" si="1"/>
        <v>3</v>
      </c>
    </row>
    <row r="25" spans="1:6">
      <c r="A25" s="26" t="s">
        <v>148</v>
      </c>
      <c r="B25" s="26" t="s">
        <v>125</v>
      </c>
      <c r="C25" s="3">
        <v>1</v>
      </c>
      <c r="D25" s="26">
        <v>0.25</v>
      </c>
      <c r="E25" s="26">
        <f t="shared" si="0"/>
        <v>3</v>
      </c>
      <c r="F25" s="26">
        <f t="shared" si="1"/>
        <v>3</v>
      </c>
    </row>
    <row r="26" spans="1:6">
      <c r="A26" s="26" t="s">
        <v>148</v>
      </c>
      <c r="B26" s="26" t="s">
        <v>126</v>
      </c>
      <c r="C26" s="3">
        <v>1</v>
      </c>
      <c r="D26" s="26">
        <v>0.25</v>
      </c>
      <c r="E26" s="26">
        <f t="shared" si="0"/>
        <v>3</v>
      </c>
      <c r="F26" s="26">
        <f t="shared" si="1"/>
        <v>3</v>
      </c>
    </row>
    <row r="27" spans="1:6">
      <c r="A27" s="26" t="s">
        <v>148</v>
      </c>
      <c r="B27" s="26" t="s">
        <v>127</v>
      </c>
      <c r="C27" s="3">
        <v>2</v>
      </c>
      <c r="D27" s="26">
        <v>0.5</v>
      </c>
      <c r="E27" s="26">
        <f t="shared" si="0"/>
        <v>6</v>
      </c>
      <c r="F27" s="26">
        <f t="shared" si="1"/>
        <v>3</v>
      </c>
    </row>
    <row r="28" spans="1:6" ht="28.5">
      <c r="A28" s="26" t="s">
        <v>148</v>
      </c>
      <c r="B28" s="26" t="s">
        <v>128</v>
      </c>
      <c r="C28" s="3">
        <v>1</v>
      </c>
      <c r="D28" s="26">
        <v>0.25</v>
      </c>
      <c r="E28" s="26">
        <f t="shared" si="0"/>
        <v>3</v>
      </c>
      <c r="F28" s="26">
        <f t="shared" si="1"/>
        <v>3</v>
      </c>
    </row>
    <row r="29" spans="1:6" ht="28.5">
      <c r="A29" s="26" t="s">
        <v>148</v>
      </c>
      <c r="B29" s="26" t="s">
        <v>129</v>
      </c>
      <c r="C29" s="3">
        <v>1</v>
      </c>
      <c r="D29" s="26">
        <v>0.25</v>
      </c>
      <c r="E29" s="26">
        <f t="shared" si="0"/>
        <v>3</v>
      </c>
      <c r="F29" s="26">
        <f t="shared" si="1"/>
        <v>3</v>
      </c>
    </row>
    <row r="30" spans="1:6">
      <c r="A30" s="26" t="s">
        <v>148</v>
      </c>
      <c r="B30" s="26" t="s">
        <v>130</v>
      </c>
      <c r="C30" s="3">
        <v>1</v>
      </c>
      <c r="D30" s="26">
        <v>0.25</v>
      </c>
      <c r="E30" s="26">
        <f t="shared" si="0"/>
        <v>3</v>
      </c>
      <c r="F30" s="26">
        <f t="shared" si="1"/>
        <v>3</v>
      </c>
    </row>
    <row r="31" spans="1:6">
      <c r="A31" s="26" t="s">
        <v>147</v>
      </c>
      <c r="B31" s="26" t="s">
        <v>146</v>
      </c>
      <c r="C31" s="3">
        <v>2</v>
      </c>
      <c r="D31" s="26">
        <v>0.5</v>
      </c>
      <c r="E31" s="26">
        <f t="shared" si="0"/>
        <v>6</v>
      </c>
      <c r="F31" s="26">
        <f t="shared" si="1"/>
        <v>3</v>
      </c>
    </row>
    <row r="32" spans="1:6">
      <c r="A32" s="26" t="s">
        <v>131</v>
      </c>
      <c r="B32" s="26" t="s">
        <v>132</v>
      </c>
      <c r="C32" s="3">
        <v>1</v>
      </c>
      <c r="D32" s="26">
        <v>0.25</v>
      </c>
      <c r="E32" s="26">
        <f t="shared" si="0"/>
        <v>3</v>
      </c>
      <c r="F32" s="26">
        <f t="shared" si="1"/>
        <v>3</v>
      </c>
    </row>
    <row r="33" spans="1:6">
      <c r="A33" s="26" t="s">
        <v>142</v>
      </c>
      <c r="B33" s="26" t="s">
        <v>143</v>
      </c>
      <c r="C33" s="3">
        <v>1</v>
      </c>
      <c r="D33" s="26">
        <v>0.25</v>
      </c>
      <c r="E33" s="26">
        <f t="shared" si="0"/>
        <v>3</v>
      </c>
      <c r="F33" s="26">
        <f t="shared" si="1"/>
        <v>3</v>
      </c>
    </row>
    <row r="34" spans="1:6">
      <c r="A34" s="26" t="s">
        <v>142</v>
      </c>
      <c r="B34" s="26" t="s">
        <v>144</v>
      </c>
      <c r="C34" s="3">
        <v>2</v>
      </c>
      <c r="D34" s="26">
        <v>0.5</v>
      </c>
      <c r="E34" s="26">
        <f t="shared" si="0"/>
        <v>6</v>
      </c>
      <c r="F34" s="26">
        <f t="shared" si="1"/>
        <v>3</v>
      </c>
    </row>
    <row r="35" spans="1:6">
      <c r="A35" s="26" t="s">
        <v>46</v>
      </c>
      <c r="B35" s="26" t="s">
        <v>145</v>
      </c>
      <c r="C35" s="3">
        <v>1</v>
      </c>
      <c r="D35" s="26">
        <v>0.25</v>
      </c>
      <c r="E35" s="26">
        <f t="shared" si="0"/>
        <v>3</v>
      </c>
      <c r="F35" s="26">
        <f t="shared" si="1"/>
        <v>3</v>
      </c>
    </row>
    <row r="36" spans="1:6">
      <c r="A36" s="26" t="s">
        <v>139</v>
      </c>
      <c r="B36" s="26" t="s">
        <v>141</v>
      </c>
      <c r="C36" s="3">
        <v>1</v>
      </c>
      <c r="D36" s="26">
        <v>0.25</v>
      </c>
      <c r="E36" s="26">
        <f t="shared" si="0"/>
        <v>3</v>
      </c>
      <c r="F36" s="26">
        <f t="shared" si="1"/>
        <v>3</v>
      </c>
    </row>
    <row r="37" spans="1:6">
      <c r="A37" s="26" t="s">
        <v>131</v>
      </c>
      <c r="B37" s="26" t="s">
        <v>133</v>
      </c>
      <c r="C37" s="3">
        <v>1</v>
      </c>
      <c r="D37" s="26">
        <v>0.25</v>
      </c>
      <c r="E37" s="26">
        <f t="shared" si="0"/>
        <v>3</v>
      </c>
      <c r="F37" s="26">
        <f t="shared" si="1"/>
        <v>3</v>
      </c>
    </row>
    <row r="38" spans="1:6">
      <c r="A38" s="26" t="s">
        <v>131</v>
      </c>
      <c r="B38" s="26" t="s">
        <v>134</v>
      </c>
      <c r="C38" s="3">
        <v>2</v>
      </c>
      <c r="D38" s="26">
        <v>0.5</v>
      </c>
      <c r="E38" s="26">
        <f t="shared" si="0"/>
        <v>6</v>
      </c>
      <c r="F38" s="26">
        <f t="shared" si="1"/>
        <v>3</v>
      </c>
    </row>
    <row r="39" spans="1:6">
      <c r="A39" s="26" t="s">
        <v>139</v>
      </c>
      <c r="B39" s="26" t="s">
        <v>140</v>
      </c>
      <c r="C39" s="3">
        <v>1</v>
      </c>
      <c r="D39" s="26">
        <v>0.25</v>
      </c>
      <c r="E39" s="26">
        <f t="shared" si="0"/>
        <v>3</v>
      </c>
      <c r="F39" s="26">
        <f t="shared" si="1"/>
        <v>3</v>
      </c>
    </row>
    <row r="40" spans="1:6">
      <c r="A40" s="26" t="s">
        <v>131</v>
      </c>
      <c r="B40" s="26" t="s">
        <v>135</v>
      </c>
      <c r="C40" s="3">
        <v>1</v>
      </c>
      <c r="D40" s="26">
        <v>0.25</v>
      </c>
      <c r="E40" s="26">
        <f t="shared" si="0"/>
        <v>3</v>
      </c>
      <c r="F40" s="26">
        <f t="shared" si="1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8476-C535-4585-AEF9-9E3BFB7D39A3}">
  <dimension ref="B2:E6"/>
  <sheetViews>
    <sheetView workbookViewId="0">
      <selection activeCell="D2" sqref="D2"/>
    </sheetView>
  </sheetViews>
  <sheetFormatPr defaultRowHeight="14.25"/>
  <cols>
    <col min="3" max="3" width="17.796875" customWidth="1"/>
    <col min="4" max="4" width="14.265625" customWidth="1"/>
    <col min="5" max="5" width="14.59765625" customWidth="1"/>
  </cols>
  <sheetData>
    <row r="2" spans="2:5">
      <c r="C2" t="s">
        <v>579</v>
      </c>
      <c r="D2" t="s">
        <v>580</v>
      </c>
      <c r="E2" t="s">
        <v>581</v>
      </c>
    </row>
    <row r="3" spans="2:5">
      <c r="B3" t="s">
        <v>316</v>
      </c>
      <c r="C3">
        <v>5.94</v>
      </c>
      <c r="D3">
        <v>5.24</v>
      </c>
      <c r="E3">
        <f>(C3-D3)/D3*100</f>
        <v>13.358778625954201</v>
      </c>
    </row>
    <row r="4" spans="2:5">
      <c r="B4" t="s">
        <v>317</v>
      </c>
      <c r="C4">
        <v>7.01</v>
      </c>
      <c r="D4">
        <v>6.12</v>
      </c>
      <c r="E4">
        <f>(C4-D4)/D4*100</f>
        <v>14.542483660130715</v>
      </c>
    </row>
    <row r="5" spans="2:5">
      <c r="B5" t="s">
        <v>318</v>
      </c>
      <c r="C5">
        <v>10.77</v>
      </c>
      <c r="D5">
        <v>13.11</v>
      </c>
      <c r="E5">
        <f>(C5-D5)/D5*100</f>
        <v>-17.848970251716249</v>
      </c>
    </row>
    <row r="6" spans="2:5">
      <c r="B6" t="s">
        <v>319</v>
      </c>
      <c r="C6">
        <v>14.75</v>
      </c>
      <c r="D6">
        <v>14.28</v>
      </c>
      <c r="E6">
        <f>(C6-D6)/D6*100</f>
        <v>3.2913165266106494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6"/>
  <sheetViews>
    <sheetView workbookViewId="0">
      <selection activeCell="V4" sqref="V4:V27"/>
    </sheetView>
  </sheetViews>
  <sheetFormatPr defaultRowHeight="14.25"/>
  <cols>
    <col min="1" max="1" width="28.53125" customWidth="1"/>
    <col min="2" max="2" width="19.33203125" customWidth="1"/>
    <col min="3" max="3" width="21.46484375" customWidth="1"/>
    <col min="4" max="4" width="12.06640625" customWidth="1"/>
    <col min="5" max="5" width="8.796875" style="20"/>
    <col min="6" max="6" width="11.46484375" customWidth="1"/>
    <col min="7" max="7" width="8.796875" style="10"/>
    <col min="9" max="9" width="11.33203125" style="4" bestFit="1" customWidth="1"/>
    <col min="10" max="12" width="8.796875" style="4"/>
    <col min="14" max="14" width="21.9296875" customWidth="1"/>
    <col min="15" max="15" width="11.33203125" customWidth="1"/>
    <col min="17" max="17" width="24.796875" customWidth="1"/>
    <col min="18" max="18" width="26.46484375" customWidth="1"/>
    <col min="19" max="19" width="37.9296875" customWidth="1"/>
    <col min="20" max="20" width="29.46484375" customWidth="1"/>
    <col min="21" max="21" width="29.796875" customWidth="1"/>
    <col min="22" max="22" width="27.06640625" customWidth="1"/>
    <col min="23" max="23" width="27.33203125" customWidth="1"/>
  </cols>
  <sheetData>
    <row r="1" spans="1:23">
      <c r="A1" t="s">
        <v>86</v>
      </c>
    </row>
    <row r="2" spans="1:23">
      <c r="A2" t="s">
        <v>87</v>
      </c>
    </row>
    <row r="3" spans="1:23" ht="71.25">
      <c r="A3" s="3"/>
      <c r="B3" s="3"/>
      <c r="C3" s="3"/>
      <c r="D3" s="3"/>
      <c r="E3" s="21" t="s">
        <v>89</v>
      </c>
      <c r="F3" s="3"/>
      <c r="G3" s="8" t="s">
        <v>90</v>
      </c>
      <c r="H3" s="3"/>
      <c r="I3" s="6"/>
      <c r="J3" s="5"/>
      <c r="K3" s="5"/>
      <c r="L3" s="5"/>
      <c r="N3" s="29" t="s">
        <v>30</v>
      </c>
      <c r="O3" s="25" t="s">
        <v>31</v>
      </c>
      <c r="P3" s="25" t="s">
        <v>32</v>
      </c>
      <c r="Q3" s="22" t="s">
        <v>88</v>
      </c>
      <c r="R3" s="25" t="s">
        <v>96</v>
      </c>
      <c r="S3" s="25" t="s">
        <v>97</v>
      </c>
      <c r="T3" s="25" t="s">
        <v>98</v>
      </c>
      <c r="U3" s="25" t="s">
        <v>99</v>
      </c>
      <c r="V3" s="25" t="s">
        <v>100</v>
      </c>
      <c r="W3" s="30" t="s">
        <v>101</v>
      </c>
    </row>
    <row r="4" spans="1:23" ht="57">
      <c r="A4" s="3" t="s">
        <v>27</v>
      </c>
      <c r="B4" s="3"/>
      <c r="C4" s="3"/>
      <c r="D4" s="3" t="s">
        <v>88</v>
      </c>
      <c r="E4" s="21" t="s">
        <v>28</v>
      </c>
      <c r="F4" s="3" t="s">
        <v>91</v>
      </c>
      <c r="G4" s="8" t="s">
        <v>29</v>
      </c>
      <c r="H4" s="3" t="s">
        <v>29</v>
      </c>
      <c r="I4" s="6" t="s">
        <v>93</v>
      </c>
      <c r="J4" s="6" t="s">
        <v>92</v>
      </c>
      <c r="K4" s="6" t="s">
        <v>94</v>
      </c>
      <c r="L4" s="6" t="s">
        <v>95</v>
      </c>
      <c r="N4" s="27" t="s">
        <v>36</v>
      </c>
      <c r="O4" s="6" t="s">
        <v>37</v>
      </c>
      <c r="P4" s="6" t="s">
        <v>38</v>
      </c>
      <c r="Q4" s="3">
        <v>3</v>
      </c>
      <c r="R4" s="6">
        <v>0.625</v>
      </c>
      <c r="S4" s="6">
        <v>0.125</v>
      </c>
      <c r="T4" s="6">
        <v>0.20833333333333334</v>
      </c>
      <c r="U4" s="6">
        <v>4.1666666666666664E-2</v>
      </c>
      <c r="V4" s="6">
        <v>2.5</v>
      </c>
      <c r="W4" s="28">
        <v>0.5</v>
      </c>
    </row>
    <row r="5" spans="1:23" ht="42.75">
      <c r="A5" s="3" t="s">
        <v>30</v>
      </c>
      <c r="B5" s="3" t="s">
        <v>31</v>
      </c>
      <c r="C5" s="3" t="s">
        <v>32</v>
      </c>
      <c r="D5" s="3"/>
      <c r="E5" s="21" t="s">
        <v>33</v>
      </c>
      <c r="F5" s="3" t="s">
        <v>34</v>
      </c>
      <c r="G5" s="8" t="s">
        <v>33</v>
      </c>
      <c r="H5" s="3" t="s">
        <v>34</v>
      </c>
      <c r="I5" s="6" t="s">
        <v>35</v>
      </c>
      <c r="J5" s="5"/>
      <c r="K5" s="5"/>
      <c r="L5" s="5"/>
      <c r="N5" s="27" t="s">
        <v>40</v>
      </c>
      <c r="O5" s="6" t="s">
        <v>41</v>
      </c>
      <c r="P5" s="6" t="s">
        <v>42</v>
      </c>
      <c r="Q5" s="3">
        <v>2</v>
      </c>
      <c r="R5" s="6">
        <v>0.5</v>
      </c>
      <c r="S5" s="6"/>
      <c r="T5" s="6">
        <v>0.25</v>
      </c>
      <c r="U5" s="6">
        <v>0</v>
      </c>
      <c r="V5" s="6">
        <v>3</v>
      </c>
      <c r="W5" s="28">
        <v>0</v>
      </c>
    </row>
    <row r="6" spans="1:23" ht="28.5">
      <c r="A6" s="3" t="s">
        <v>36</v>
      </c>
      <c r="B6" s="3" t="s">
        <v>37</v>
      </c>
      <c r="C6" s="3" t="s">
        <v>38</v>
      </c>
      <c r="D6" s="3">
        <v>3</v>
      </c>
      <c r="E6" s="21">
        <f>F6/8</f>
        <v>0.625</v>
      </c>
      <c r="F6" s="3">
        <v>5</v>
      </c>
      <c r="G6" s="8">
        <f>1/8</f>
        <v>0.125</v>
      </c>
      <c r="H6" s="16" t="s">
        <v>39</v>
      </c>
      <c r="I6" s="6">
        <f>E6/D6</f>
        <v>0.20833333333333334</v>
      </c>
      <c r="J6" s="5">
        <f>G6/D6</f>
        <v>4.1666666666666664E-2</v>
      </c>
      <c r="K6" s="5">
        <f>I6*12</f>
        <v>2.5</v>
      </c>
      <c r="L6" s="5">
        <f>J6*12</f>
        <v>0.5</v>
      </c>
      <c r="N6" s="27" t="s">
        <v>43</v>
      </c>
      <c r="O6" s="6" t="s">
        <v>44</v>
      </c>
      <c r="P6" s="6"/>
      <c r="Q6" s="3">
        <v>1</v>
      </c>
      <c r="R6" s="6">
        <v>0.25</v>
      </c>
      <c r="S6" s="6">
        <v>6.25E-2</v>
      </c>
      <c r="T6" s="6">
        <v>0.25</v>
      </c>
      <c r="U6" s="6">
        <v>6.25E-2</v>
      </c>
      <c r="V6" s="6">
        <v>3</v>
      </c>
      <c r="W6" s="28">
        <v>0.75</v>
      </c>
    </row>
    <row r="7" spans="1:23" ht="28.5">
      <c r="A7" s="3" t="s">
        <v>40</v>
      </c>
      <c r="B7" s="3" t="s">
        <v>41</v>
      </c>
      <c r="C7" s="3" t="s">
        <v>42</v>
      </c>
      <c r="D7" s="3">
        <v>2</v>
      </c>
      <c r="E7" s="21">
        <f>F7/8</f>
        <v>0.5</v>
      </c>
      <c r="F7" s="3">
        <v>4</v>
      </c>
      <c r="G7" s="8"/>
      <c r="H7" s="3">
        <v>1</v>
      </c>
      <c r="I7" s="6">
        <f t="shared" ref="I7:I28" si="0">E7/D7</f>
        <v>0.25</v>
      </c>
      <c r="J7" s="5">
        <f t="shared" ref="J7:J28" si="1">G7/D7</f>
        <v>0</v>
      </c>
      <c r="K7" s="5">
        <f t="shared" ref="K7:K28" si="2">I7*12</f>
        <v>3</v>
      </c>
      <c r="L7" s="5">
        <f t="shared" ref="L7:L28" si="3">J7*12</f>
        <v>0</v>
      </c>
      <c r="N7" s="27" t="s">
        <v>46</v>
      </c>
      <c r="O7" s="6" t="s">
        <v>47</v>
      </c>
      <c r="P7" s="6" t="s">
        <v>42</v>
      </c>
      <c r="Q7" s="3">
        <v>2</v>
      </c>
      <c r="R7" s="6">
        <v>0.375</v>
      </c>
      <c r="S7" s="6">
        <v>9.375E-2</v>
      </c>
      <c r="T7" s="6">
        <v>0.1875</v>
      </c>
      <c r="U7" s="6">
        <v>4.6875E-2</v>
      </c>
      <c r="V7" s="6">
        <v>2.25</v>
      </c>
      <c r="W7" s="28">
        <v>0.5625</v>
      </c>
    </row>
    <row r="8" spans="1:23" ht="28.5">
      <c r="A8" s="3" t="s">
        <v>43</v>
      </c>
      <c r="B8" s="3" t="s">
        <v>44</v>
      </c>
      <c r="C8" s="3"/>
      <c r="D8" s="3">
        <v>1</v>
      </c>
      <c r="E8" s="21">
        <f>F8/8</f>
        <v>0.25</v>
      </c>
      <c r="F8" s="3">
        <v>2</v>
      </c>
      <c r="G8" s="8">
        <f>0.5/8</f>
        <v>6.25E-2</v>
      </c>
      <c r="H8" s="3" t="s">
        <v>45</v>
      </c>
      <c r="I8" s="6">
        <f t="shared" si="0"/>
        <v>0.25</v>
      </c>
      <c r="J8" s="5">
        <f t="shared" si="1"/>
        <v>6.25E-2</v>
      </c>
      <c r="K8" s="5">
        <f t="shared" si="2"/>
        <v>3</v>
      </c>
      <c r="L8" s="5">
        <f t="shared" si="3"/>
        <v>0.75</v>
      </c>
      <c r="N8" s="27" t="s">
        <v>46</v>
      </c>
      <c r="O8" s="6" t="s">
        <v>49</v>
      </c>
      <c r="P8" s="6" t="s">
        <v>42</v>
      </c>
      <c r="Q8" s="3">
        <v>2</v>
      </c>
      <c r="R8" s="6">
        <v>0.375</v>
      </c>
      <c r="S8" s="6">
        <v>9.375E-2</v>
      </c>
      <c r="T8" s="6">
        <v>0.1875</v>
      </c>
      <c r="U8" s="6">
        <v>4.6875E-2</v>
      </c>
      <c r="V8" s="6">
        <v>2.25</v>
      </c>
      <c r="W8" s="28">
        <v>0.5625</v>
      </c>
    </row>
    <row r="9" spans="1:23" ht="57">
      <c r="A9" s="3" t="s">
        <v>46</v>
      </c>
      <c r="B9" s="3" t="s">
        <v>47</v>
      </c>
      <c r="C9" s="3" t="s">
        <v>42</v>
      </c>
      <c r="D9" s="3">
        <v>2</v>
      </c>
      <c r="E9" s="21">
        <f>F9/8</f>
        <v>0.375</v>
      </c>
      <c r="F9" s="3">
        <v>3</v>
      </c>
      <c r="G9" s="8">
        <f>0.75/8</f>
        <v>9.375E-2</v>
      </c>
      <c r="H9" s="17" t="s">
        <v>48</v>
      </c>
      <c r="I9" s="6">
        <f t="shared" si="0"/>
        <v>0.1875</v>
      </c>
      <c r="J9" s="5">
        <f t="shared" si="1"/>
        <v>4.6875E-2</v>
      </c>
      <c r="K9" s="5">
        <f t="shared" si="2"/>
        <v>2.25</v>
      </c>
      <c r="L9" s="5">
        <f t="shared" si="3"/>
        <v>0.5625</v>
      </c>
      <c r="N9" s="27" t="s">
        <v>46</v>
      </c>
      <c r="O9" s="6" t="s">
        <v>50</v>
      </c>
      <c r="P9" s="6" t="s">
        <v>51</v>
      </c>
      <c r="Q9" s="3">
        <v>6</v>
      </c>
      <c r="R9" s="6">
        <v>1.25</v>
      </c>
      <c r="S9" s="6">
        <v>0.3125</v>
      </c>
      <c r="T9" s="6">
        <v>0.20833333333333334</v>
      </c>
      <c r="U9" s="6">
        <v>5.2083333333333336E-2</v>
      </c>
      <c r="V9" s="6">
        <v>2.5</v>
      </c>
      <c r="W9" s="28">
        <v>0.625</v>
      </c>
    </row>
    <row r="10" spans="1:23" ht="28.5">
      <c r="A10" s="3" t="s">
        <v>46</v>
      </c>
      <c r="B10" s="3" t="s">
        <v>49</v>
      </c>
      <c r="C10" s="3" t="s">
        <v>42</v>
      </c>
      <c r="D10" s="3">
        <v>2</v>
      </c>
      <c r="E10" s="21">
        <f>F10/8</f>
        <v>0.375</v>
      </c>
      <c r="F10" s="3">
        <v>3</v>
      </c>
      <c r="G10" s="8">
        <f>0.75/8</f>
        <v>9.375E-2</v>
      </c>
      <c r="H10" s="3" t="s">
        <v>48</v>
      </c>
      <c r="I10" s="6">
        <f t="shared" si="0"/>
        <v>0.1875</v>
      </c>
      <c r="J10" s="5">
        <f t="shared" si="1"/>
        <v>4.6875E-2</v>
      </c>
      <c r="K10" s="5">
        <f t="shared" si="2"/>
        <v>2.25</v>
      </c>
      <c r="L10" s="5">
        <f t="shared" si="3"/>
        <v>0.5625</v>
      </c>
      <c r="N10" s="27" t="s">
        <v>46</v>
      </c>
      <c r="O10" s="6" t="s">
        <v>53</v>
      </c>
      <c r="P10" s="6"/>
      <c r="Q10" s="3">
        <v>1</v>
      </c>
      <c r="R10" s="6">
        <v>0.25</v>
      </c>
      <c r="S10" s="6">
        <v>6.25E-2</v>
      </c>
      <c r="T10" s="6">
        <v>0.25</v>
      </c>
      <c r="U10" s="6">
        <v>6.25E-2</v>
      </c>
      <c r="V10" s="6">
        <v>3</v>
      </c>
      <c r="W10" s="28">
        <v>0.75</v>
      </c>
    </row>
    <row r="11" spans="1:23" ht="42.75">
      <c r="A11" s="3" t="s">
        <v>46</v>
      </c>
      <c r="B11" s="3" t="s">
        <v>50</v>
      </c>
      <c r="C11" s="3" t="s">
        <v>51</v>
      </c>
      <c r="D11" s="3">
        <v>6</v>
      </c>
      <c r="E11" s="21">
        <f>1+2/8</f>
        <v>1.25</v>
      </c>
      <c r="F11" s="3">
        <v>2</v>
      </c>
      <c r="G11" s="8">
        <f>2.5/8</f>
        <v>0.3125</v>
      </c>
      <c r="H11" s="3" t="s">
        <v>52</v>
      </c>
      <c r="I11" s="6">
        <f t="shared" si="0"/>
        <v>0.20833333333333334</v>
      </c>
      <c r="J11" s="5">
        <f t="shared" si="1"/>
        <v>5.2083333333333336E-2</v>
      </c>
      <c r="K11" s="5">
        <f t="shared" si="2"/>
        <v>2.5</v>
      </c>
      <c r="L11" s="5">
        <f t="shared" si="3"/>
        <v>0.625</v>
      </c>
      <c r="N11" s="27" t="s">
        <v>46</v>
      </c>
      <c r="O11" s="6" t="s">
        <v>54</v>
      </c>
      <c r="P11" s="6"/>
      <c r="Q11" s="3">
        <v>1</v>
      </c>
      <c r="R11" s="6">
        <v>0.25</v>
      </c>
      <c r="S11" s="6">
        <v>6.25E-2</v>
      </c>
      <c r="T11" s="6">
        <v>0.25</v>
      </c>
      <c r="U11" s="6">
        <v>6.25E-2</v>
      </c>
      <c r="V11" s="6">
        <v>3</v>
      </c>
      <c r="W11" s="28">
        <v>0.75</v>
      </c>
    </row>
    <row r="12" spans="1:23" ht="28.5">
      <c r="A12" s="3" t="s">
        <v>46</v>
      </c>
      <c r="B12" s="3" t="s">
        <v>53</v>
      </c>
      <c r="C12" s="3"/>
      <c r="D12" s="3">
        <v>1</v>
      </c>
      <c r="E12" s="21">
        <f t="shared" ref="E12:E25" si="4">F12/8</f>
        <v>0.25</v>
      </c>
      <c r="F12" s="3">
        <v>2</v>
      </c>
      <c r="G12" s="8">
        <f>0.5/8</f>
        <v>6.25E-2</v>
      </c>
      <c r="H12" s="3" t="s">
        <v>45</v>
      </c>
      <c r="I12" s="6">
        <f t="shared" si="0"/>
        <v>0.25</v>
      </c>
      <c r="J12" s="5">
        <f t="shared" si="1"/>
        <v>6.25E-2</v>
      </c>
      <c r="K12" s="5">
        <f t="shared" si="2"/>
        <v>3</v>
      </c>
      <c r="L12" s="5">
        <f t="shared" si="3"/>
        <v>0.75</v>
      </c>
      <c r="N12" s="27" t="s">
        <v>46</v>
      </c>
      <c r="O12" s="6" t="s">
        <v>55</v>
      </c>
      <c r="P12" s="6"/>
      <c r="Q12" s="3">
        <v>1</v>
      </c>
      <c r="R12" s="6">
        <v>0.25</v>
      </c>
      <c r="S12" s="6">
        <v>6.25E-2</v>
      </c>
      <c r="T12" s="6">
        <v>0.25</v>
      </c>
      <c r="U12" s="6">
        <v>6.25E-2</v>
      </c>
      <c r="V12" s="6">
        <v>3</v>
      </c>
      <c r="W12" s="28">
        <v>0.75</v>
      </c>
    </row>
    <row r="13" spans="1:23" ht="28.5">
      <c r="A13" s="3" t="s">
        <v>46</v>
      </c>
      <c r="B13" s="3" t="s">
        <v>54</v>
      </c>
      <c r="C13" s="3"/>
      <c r="D13" s="3">
        <v>1</v>
      </c>
      <c r="E13" s="21">
        <f t="shared" si="4"/>
        <v>0.25</v>
      </c>
      <c r="F13" s="3">
        <v>2</v>
      </c>
      <c r="G13" s="8">
        <f>0.5/8</f>
        <v>6.25E-2</v>
      </c>
      <c r="H13" s="3" t="s">
        <v>45</v>
      </c>
      <c r="I13" s="6">
        <f t="shared" si="0"/>
        <v>0.25</v>
      </c>
      <c r="J13" s="5">
        <f t="shared" si="1"/>
        <v>6.25E-2</v>
      </c>
      <c r="K13" s="5">
        <f t="shared" si="2"/>
        <v>3</v>
      </c>
      <c r="L13" s="5">
        <f t="shared" si="3"/>
        <v>0.75</v>
      </c>
      <c r="N13" s="27" t="s">
        <v>46</v>
      </c>
      <c r="O13" s="6" t="s">
        <v>56</v>
      </c>
      <c r="P13" s="6"/>
      <c r="Q13" s="3">
        <v>1</v>
      </c>
      <c r="R13" s="6">
        <v>0.25</v>
      </c>
      <c r="S13" s="6">
        <v>6.25E-2</v>
      </c>
      <c r="T13" s="6">
        <v>0.25</v>
      </c>
      <c r="U13" s="6">
        <v>6.25E-2</v>
      </c>
      <c r="V13" s="6">
        <v>3</v>
      </c>
      <c r="W13" s="28">
        <v>0.75</v>
      </c>
    </row>
    <row r="14" spans="1:23" ht="28.5">
      <c r="A14" s="3" t="s">
        <v>46</v>
      </c>
      <c r="B14" s="3" t="s">
        <v>55</v>
      </c>
      <c r="C14" s="3"/>
      <c r="D14" s="3">
        <v>1</v>
      </c>
      <c r="E14" s="21">
        <f t="shared" si="4"/>
        <v>0.25</v>
      </c>
      <c r="F14" s="3">
        <v>2</v>
      </c>
      <c r="G14" s="8">
        <f>0.5/8</f>
        <v>6.25E-2</v>
      </c>
      <c r="H14" s="3" t="s">
        <v>45</v>
      </c>
      <c r="I14" s="6">
        <f t="shared" si="0"/>
        <v>0.25</v>
      </c>
      <c r="J14" s="5">
        <f t="shared" si="1"/>
        <v>6.25E-2</v>
      </c>
      <c r="K14" s="5">
        <f t="shared" si="2"/>
        <v>3</v>
      </c>
      <c r="L14" s="5">
        <f t="shared" si="3"/>
        <v>0.75</v>
      </c>
      <c r="N14" s="27" t="s">
        <v>46</v>
      </c>
      <c r="O14" s="6" t="s">
        <v>57</v>
      </c>
      <c r="P14" s="6" t="s">
        <v>42</v>
      </c>
      <c r="Q14" s="3">
        <v>2</v>
      </c>
      <c r="R14" s="6">
        <v>0.5</v>
      </c>
      <c r="S14" s="6">
        <v>0.125</v>
      </c>
      <c r="T14" s="6">
        <v>0.25</v>
      </c>
      <c r="U14" s="6">
        <v>6.25E-2</v>
      </c>
      <c r="V14" s="6">
        <v>3</v>
      </c>
      <c r="W14" s="28">
        <v>0.75</v>
      </c>
    </row>
    <row r="15" spans="1:23" ht="42.75">
      <c r="A15" s="3" t="s">
        <v>46</v>
      </c>
      <c r="B15" s="3" t="s">
        <v>56</v>
      </c>
      <c r="C15" s="3"/>
      <c r="D15" s="3">
        <v>1</v>
      </c>
      <c r="E15" s="21">
        <f t="shared" si="4"/>
        <v>0.25</v>
      </c>
      <c r="F15" s="3">
        <v>2</v>
      </c>
      <c r="G15" s="8">
        <f>0.5/8</f>
        <v>6.25E-2</v>
      </c>
      <c r="H15" s="3" t="s">
        <v>45</v>
      </c>
      <c r="I15" s="6">
        <f t="shared" si="0"/>
        <v>0.25</v>
      </c>
      <c r="J15" s="5">
        <f t="shared" si="1"/>
        <v>6.25E-2</v>
      </c>
      <c r="K15" s="5">
        <f t="shared" si="2"/>
        <v>3</v>
      </c>
      <c r="L15" s="5">
        <f t="shared" si="3"/>
        <v>0.75</v>
      </c>
      <c r="N15" s="27" t="s">
        <v>58</v>
      </c>
      <c r="O15" s="6" t="s">
        <v>59</v>
      </c>
      <c r="P15" s="6" t="s">
        <v>60</v>
      </c>
      <c r="Q15" s="3">
        <v>3</v>
      </c>
      <c r="R15" s="6">
        <v>0.75</v>
      </c>
      <c r="S15" s="6">
        <v>0.1875</v>
      </c>
      <c r="T15" s="6">
        <v>0.25</v>
      </c>
      <c r="U15" s="6">
        <v>6.25E-2</v>
      </c>
      <c r="V15" s="6">
        <v>3</v>
      </c>
      <c r="W15" s="28">
        <v>0.75</v>
      </c>
    </row>
    <row r="16" spans="1:23" ht="42.75">
      <c r="A16" s="3" t="s">
        <v>46</v>
      </c>
      <c r="B16" s="3" t="s">
        <v>57</v>
      </c>
      <c r="C16" s="3" t="s">
        <v>42</v>
      </c>
      <c r="D16" s="3">
        <v>2</v>
      </c>
      <c r="E16" s="21">
        <f t="shared" si="4"/>
        <v>0.5</v>
      </c>
      <c r="F16" s="3">
        <v>4</v>
      </c>
      <c r="G16" s="8">
        <f>1/8</f>
        <v>0.125</v>
      </c>
      <c r="H16" s="3">
        <v>1</v>
      </c>
      <c r="I16" s="6">
        <f t="shared" si="0"/>
        <v>0.25</v>
      </c>
      <c r="J16" s="5">
        <f t="shared" si="1"/>
        <v>6.25E-2</v>
      </c>
      <c r="K16" s="5">
        <f t="shared" si="2"/>
        <v>3</v>
      </c>
      <c r="L16" s="5">
        <f t="shared" si="3"/>
        <v>0.75</v>
      </c>
      <c r="N16" s="27" t="s">
        <v>62</v>
      </c>
      <c r="O16" s="6" t="s">
        <v>63</v>
      </c>
      <c r="P16" s="6" t="s">
        <v>64</v>
      </c>
      <c r="Q16" s="3">
        <v>5</v>
      </c>
      <c r="R16" s="6">
        <v>0.75</v>
      </c>
      <c r="S16" s="6">
        <v>0.1875</v>
      </c>
      <c r="T16" s="6">
        <v>0.15</v>
      </c>
      <c r="U16" s="6">
        <v>3.7499999999999999E-2</v>
      </c>
      <c r="V16" s="6">
        <v>1.7999999999999998</v>
      </c>
      <c r="W16" s="28">
        <v>0.44999999999999996</v>
      </c>
    </row>
    <row r="17" spans="1:25" ht="42.75">
      <c r="A17" s="3" t="s">
        <v>58</v>
      </c>
      <c r="B17" s="3" t="s">
        <v>59</v>
      </c>
      <c r="C17" s="3" t="s">
        <v>60</v>
      </c>
      <c r="D17" s="3">
        <v>3</v>
      </c>
      <c r="E17" s="21">
        <f t="shared" si="4"/>
        <v>0.75</v>
      </c>
      <c r="F17" s="3">
        <v>6</v>
      </c>
      <c r="G17" s="8">
        <f>1.5/8</f>
        <v>0.1875</v>
      </c>
      <c r="H17" s="3" t="s">
        <v>61</v>
      </c>
      <c r="I17" s="6">
        <f t="shared" si="0"/>
        <v>0.25</v>
      </c>
      <c r="J17" s="5">
        <f t="shared" si="1"/>
        <v>6.25E-2</v>
      </c>
      <c r="K17" s="5">
        <f t="shared" si="2"/>
        <v>3</v>
      </c>
      <c r="L17" s="5">
        <f t="shared" si="3"/>
        <v>0.75</v>
      </c>
      <c r="N17" s="27" t="s">
        <v>62</v>
      </c>
      <c r="O17" s="6" t="s">
        <v>65</v>
      </c>
      <c r="P17" s="6"/>
      <c r="Q17" s="3">
        <v>1</v>
      </c>
      <c r="R17" s="6">
        <v>0.25</v>
      </c>
      <c r="S17" s="6">
        <v>6.25E-2</v>
      </c>
      <c r="T17" s="6">
        <v>0.25</v>
      </c>
      <c r="U17" s="6">
        <v>6.25E-2</v>
      </c>
      <c r="V17" s="6">
        <v>3</v>
      </c>
      <c r="W17" s="28">
        <v>0.75</v>
      </c>
    </row>
    <row r="18" spans="1:25" ht="42.75">
      <c r="A18" s="3" t="s">
        <v>62</v>
      </c>
      <c r="B18" s="3" t="s">
        <v>63</v>
      </c>
      <c r="C18" s="3" t="s">
        <v>64</v>
      </c>
      <c r="D18" s="3">
        <v>5</v>
      </c>
      <c r="E18" s="21">
        <f t="shared" si="4"/>
        <v>0.75</v>
      </c>
      <c r="F18" s="3">
        <v>6</v>
      </c>
      <c r="G18" s="8">
        <f>1.5/8</f>
        <v>0.1875</v>
      </c>
      <c r="H18" s="3" t="s">
        <v>61</v>
      </c>
      <c r="I18" s="6">
        <f t="shared" si="0"/>
        <v>0.15</v>
      </c>
      <c r="J18" s="5">
        <f t="shared" si="1"/>
        <v>3.7499999999999999E-2</v>
      </c>
      <c r="K18" s="5">
        <f t="shared" si="2"/>
        <v>1.7999999999999998</v>
      </c>
      <c r="L18" s="5">
        <f t="shared" si="3"/>
        <v>0.44999999999999996</v>
      </c>
      <c r="N18" s="27" t="s">
        <v>62</v>
      </c>
      <c r="O18" s="6" t="s">
        <v>66</v>
      </c>
      <c r="P18" s="6"/>
      <c r="Q18" s="3">
        <v>1</v>
      </c>
      <c r="R18" s="6">
        <v>0.25</v>
      </c>
      <c r="S18" s="6">
        <v>6.25E-2</v>
      </c>
      <c r="T18" s="6">
        <v>0.25</v>
      </c>
      <c r="U18" s="6">
        <v>6.25E-2</v>
      </c>
      <c r="V18" s="6">
        <v>3</v>
      </c>
      <c r="W18" s="28">
        <v>0.75</v>
      </c>
    </row>
    <row r="19" spans="1:25" ht="28.5">
      <c r="A19" s="3" t="s">
        <v>62</v>
      </c>
      <c r="B19" s="3" t="s">
        <v>65</v>
      </c>
      <c r="C19" s="3"/>
      <c r="D19" s="3">
        <v>1</v>
      </c>
      <c r="E19" s="21">
        <f t="shared" si="4"/>
        <v>0.25</v>
      </c>
      <c r="F19" s="3">
        <v>2</v>
      </c>
      <c r="G19" s="8">
        <f>0.5/8</f>
        <v>6.25E-2</v>
      </c>
      <c r="H19" s="3" t="s">
        <v>45</v>
      </c>
      <c r="I19" s="6">
        <f t="shared" si="0"/>
        <v>0.25</v>
      </c>
      <c r="J19" s="5">
        <f t="shared" si="1"/>
        <v>6.25E-2</v>
      </c>
      <c r="K19" s="5">
        <f t="shared" si="2"/>
        <v>3</v>
      </c>
      <c r="L19" s="5">
        <f t="shared" si="3"/>
        <v>0.75</v>
      </c>
      <c r="N19" s="27" t="s">
        <v>67</v>
      </c>
      <c r="O19" s="6" t="s">
        <v>68</v>
      </c>
      <c r="P19" s="6"/>
      <c r="Q19" s="3">
        <v>1</v>
      </c>
      <c r="R19" s="6">
        <v>0.25</v>
      </c>
      <c r="S19" s="6">
        <v>6.25E-2</v>
      </c>
      <c r="T19" s="6">
        <v>0.25</v>
      </c>
      <c r="U19" s="6">
        <v>6.25E-2</v>
      </c>
      <c r="V19" s="6">
        <v>3</v>
      </c>
      <c r="W19" s="28">
        <v>0.75</v>
      </c>
    </row>
    <row r="20" spans="1:25" ht="28.5">
      <c r="A20" s="3" t="s">
        <v>62</v>
      </c>
      <c r="B20" s="3" t="s">
        <v>66</v>
      </c>
      <c r="C20" s="3"/>
      <c r="D20" s="3">
        <v>1</v>
      </c>
      <c r="E20" s="21">
        <f t="shared" si="4"/>
        <v>0.25</v>
      </c>
      <c r="F20" s="3">
        <v>2</v>
      </c>
      <c r="G20" s="8">
        <f>0.5/8</f>
        <v>6.25E-2</v>
      </c>
      <c r="H20" s="3" t="s">
        <v>45</v>
      </c>
      <c r="I20" s="6">
        <f t="shared" si="0"/>
        <v>0.25</v>
      </c>
      <c r="J20" s="5">
        <f t="shared" si="1"/>
        <v>6.25E-2</v>
      </c>
      <c r="K20" s="5">
        <f t="shared" si="2"/>
        <v>3</v>
      </c>
      <c r="L20" s="5">
        <f t="shared" si="3"/>
        <v>0.75</v>
      </c>
      <c r="N20" s="27" t="s">
        <v>67</v>
      </c>
      <c r="O20" s="6" t="s">
        <v>69</v>
      </c>
      <c r="P20" s="6"/>
      <c r="Q20" s="3">
        <v>1</v>
      </c>
      <c r="R20" s="6">
        <v>0.25</v>
      </c>
      <c r="S20" s="6">
        <v>6.25E-2</v>
      </c>
      <c r="T20" s="6">
        <v>0.25</v>
      </c>
      <c r="U20" s="6">
        <v>6.25E-2</v>
      </c>
      <c r="V20" s="6">
        <v>3</v>
      </c>
      <c r="W20" s="28">
        <v>0.75</v>
      </c>
    </row>
    <row r="21" spans="1:25" ht="28.5">
      <c r="A21" s="3" t="s">
        <v>67</v>
      </c>
      <c r="B21" s="3" t="s">
        <v>68</v>
      </c>
      <c r="C21" s="3"/>
      <c r="D21" s="3">
        <v>1</v>
      </c>
      <c r="E21" s="21">
        <f t="shared" si="4"/>
        <v>0.25</v>
      </c>
      <c r="F21" s="3">
        <v>2</v>
      </c>
      <c r="G21" s="8">
        <f>0.5/8</f>
        <v>6.25E-2</v>
      </c>
      <c r="H21" s="3" t="s">
        <v>45</v>
      </c>
      <c r="I21" s="6">
        <f t="shared" si="0"/>
        <v>0.25</v>
      </c>
      <c r="J21" s="5">
        <f t="shared" si="1"/>
        <v>6.25E-2</v>
      </c>
      <c r="K21" s="5">
        <f t="shared" si="2"/>
        <v>3</v>
      </c>
      <c r="L21" s="5">
        <f t="shared" si="3"/>
        <v>0.75</v>
      </c>
      <c r="N21" s="27" t="s">
        <v>70</v>
      </c>
      <c r="O21" s="6" t="s">
        <v>71</v>
      </c>
      <c r="P21" s="6" t="s">
        <v>72</v>
      </c>
      <c r="Q21" s="3">
        <v>3</v>
      </c>
      <c r="R21" s="6">
        <v>0.625</v>
      </c>
      <c r="S21" s="6">
        <v>0.125</v>
      </c>
      <c r="T21" s="6">
        <v>0.21</v>
      </c>
      <c r="U21" s="6">
        <v>0.04</v>
      </c>
      <c r="V21" s="6">
        <v>2.5</v>
      </c>
      <c r="W21" s="28">
        <v>0.5</v>
      </c>
    </row>
    <row r="22" spans="1:25" ht="71.25">
      <c r="A22" s="3" t="s">
        <v>67</v>
      </c>
      <c r="B22" s="3" t="s">
        <v>69</v>
      </c>
      <c r="C22" s="3"/>
      <c r="D22" s="3">
        <v>1</v>
      </c>
      <c r="E22" s="21">
        <f t="shared" si="4"/>
        <v>0.25</v>
      </c>
      <c r="F22" s="3">
        <v>2</v>
      </c>
      <c r="G22" s="8">
        <f>0.5/8</f>
        <v>6.25E-2</v>
      </c>
      <c r="H22" s="3" t="s">
        <v>45</v>
      </c>
      <c r="I22" s="6">
        <f t="shared" si="0"/>
        <v>0.25</v>
      </c>
      <c r="J22" s="5">
        <f t="shared" si="1"/>
        <v>6.25E-2</v>
      </c>
      <c r="K22" s="5">
        <f t="shared" si="2"/>
        <v>3</v>
      </c>
      <c r="L22" s="5">
        <f t="shared" si="3"/>
        <v>0.75</v>
      </c>
      <c r="N22" s="27" t="s">
        <v>70</v>
      </c>
      <c r="O22" s="6" t="s">
        <v>73</v>
      </c>
      <c r="P22" s="6" t="s">
        <v>74</v>
      </c>
      <c r="Q22" s="3">
        <v>3</v>
      </c>
      <c r="R22" s="6">
        <v>0.75</v>
      </c>
      <c r="S22" s="6">
        <v>0.125</v>
      </c>
      <c r="T22" s="6">
        <v>0.25</v>
      </c>
      <c r="U22" s="6">
        <v>4.1666666666666664E-2</v>
      </c>
      <c r="V22" s="6">
        <v>3</v>
      </c>
      <c r="W22" s="28">
        <v>0.5</v>
      </c>
    </row>
    <row r="23" spans="1:25" ht="28.5">
      <c r="A23" s="3" t="s">
        <v>70</v>
      </c>
      <c r="B23" s="3" t="s">
        <v>71</v>
      </c>
      <c r="C23" s="3" t="s">
        <v>72</v>
      </c>
      <c r="D23" s="19">
        <v>3</v>
      </c>
      <c r="E23" s="21">
        <f t="shared" si="4"/>
        <v>0.625</v>
      </c>
      <c r="F23" s="19">
        <v>5</v>
      </c>
      <c r="G23" s="8">
        <f>1/8</f>
        <v>0.125</v>
      </c>
      <c r="H23" s="19">
        <v>1</v>
      </c>
      <c r="I23" s="8">
        <f t="shared" si="0"/>
        <v>0.20833333333333334</v>
      </c>
      <c r="J23" s="9">
        <f t="shared" si="1"/>
        <v>4.1666666666666664E-2</v>
      </c>
      <c r="K23" s="9">
        <f t="shared" si="2"/>
        <v>2.5</v>
      </c>
      <c r="L23" s="9">
        <f t="shared" si="3"/>
        <v>0.5</v>
      </c>
      <c r="N23" s="27" t="s">
        <v>75</v>
      </c>
      <c r="O23" s="6" t="s">
        <v>76</v>
      </c>
      <c r="P23" s="6" t="s">
        <v>42</v>
      </c>
      <c r="Q23" s="3">
        <v>2</v>
      </c>
      <c r="R23" s="6">
        <v>0.5</v>
      </c>
      <c r="S23" s="6">
        <v>0.125</v>
      </c>
      <c r="T23" s="6">
        <v>0.25</v>
      </c>
      <c r="U23" s="6">
        <v>6.25E-2</v>
      </c>
      <c r="V23" s="6">
        <v>3</v>
      </c>
      <c r="W23" s="28">
        <v>0.75</v>
      </c>
    </row>
    <row r="24" spans="1:25" ht="42.75">
      <c r="A24" s="3" t="s">
        <v>70</v>
      </c>
      <c r="B24" s="3" t="s">
        <v>73</v>
      </c>
      <c r="C24" s="3" t="s">
        <v>74</v>
      </c>
      <c r="D24" s="3">
        <v>3</v>
      </c>
      <c r="E24" s="21">
        <f t="shared" si="4"/>
        <v>0.75</v>
      </c>
      <c r="F24" s="3">
        <v>6</v>
      </c>
      <c r="G24" s="8">
        <f>1/8</f>
        <v>0.125</v>
      </c>
      <c r="H24" s="3">
        <v>1</v>
      </c>
      <c r="I24" s="6">
        <f t="shared" si="0"/>
        <v>0.25</v>
      </c>
      <c r="J24" s="5">
        <f t="shared" si="1"/>
        <v>4.1666666666666664E-2</v>
      </c>
      <c r="K24" s="5">
        <f t="shared" si="2"/>
        <v>3</v>
      </c>
      <c r="L24" s="5">
        <f t="shared" si="3"/>
        <v>0.5</v>
      </c>
      <c r="N24" s="27" t="s">
        <v>77</v>
      </c>
      <c r="O24" s="6" t="s">
        <v>78</v>
      </c>
      <c r="P24" s="6" t="s">
        <v>64</v>
      </c>
      <c r="Q24" s="3">
        <v>5</v>
      </c>
      <c r="R24" s="6">
        <v>1</v>
      </c>
      <c r="S24" s="6">
        <v>0.25</v>
      </c>
      <c r="T24" s="6">
        <v>0.2</v>
      </c>
      <c r="U24" s="6">
        <v>0.05</v>
      </c>
      <c r="V24" s="6">
        <v>2.4000000000000004</v>
      </c>
      <c r="W24" s="28">
        <v>0.60000000000000009</v>
      </c>
    </row>
    <row r="25" spans="1:25" ht="28.5">
      <c r="A25" s="3" t="s">
        <v>75</v>
      </c>
      <c r="B25" s="3" t="s">
        <v>76</v>
      </c>
      <c r="C25" s="3" t="s">
        <v>42</v>
      </c>
      <c r="D25" s="3">
        <v>2</v>
      </c>
      <c r="E25" s="21">
        <f t="shared" si="4"/>
        <v>0.5</v>
      </c>
      <c r="F25" s="3">
        <v>4</v>
      </c>
      <c r="G25" s="8">
        <f>1/8</f>
        <v>0.125</v>
      </c>
      <c r="H25" s="3">
        <v>1</v>
      </c>
      <c r="I25" s="6">
        <f t="shared" si="0"/>
        <v>0.25</v>
      </c>
      <c r="J25" s="5">
        <f t="shared" si="1"/>
        <v>6.25E-2</v>
      </c>
      <c r="K25" s="5">
        <f t="shared" si="2"/>
        <v>3</v>
      </c>
      <c r="L25" s="5">
        <f t="shared" si="3"/>
        <v>0.75</v>
      </c>
      <c r="N25" s="27" t="s">
        <v>79</v>
      </c>
      <c r="O25" s="6" t="s">
        <v>80</v>
      </c>
      <c r="P25" s="6"/>
      <c r="Q25" s="3">
        <v>1</v>
      </c>
      <c r="R25" s="6">
        <v>0.25</v>
      </c>
      <c r="S25" s="6">
        <v>6.25E-2</v>
      </c>
      <c r="T25" s="6">
        <v>0.25</v>
      </c>
      <c r="U25" s="6">
        <v>6.25E-2</v>
      </c>
      <c r="V25" s="6">
        <v>3</v>
      </c>
      <c r="W25" s="28">
        <v>0.75</v>
      </c>
    </row>
    <row r="26" spans="1:25" ht="42.75">
      <c r="A26" s="3" t="s">
        <v>77</v>
      </c>
      <c r="B26" s="3" t="s">
        <v>78</v>
      </c>
      <c r="C26" s="3" t="s">
        <v>64</v>
      </c>
      <c r="D26" s="3">
        <v>5</v>
      </c>
      <c r="E26" s="21">
        <v>1</v>
      </c>
      <c r="F26" s="3"/>
      <c r="G26" s="8">
        <f>2/8</f>
        <v>0.25</v>
      </c>
      <c r="H26" s="3">
        <v>2</v>
      </c>
      <c r="I26" s="6">
        <f t="shared" si="0"/>
        <v>0.2</v>
      </c>
      <c r="J26" s="5">
        <f t="shared" si="1"/>
        <v>0.05</v>
      </c>
      <c r="K26" s="5">
        <f t="shared" si="2"/>
        <v>2.4000000000000004</v>
      </c>
      <c r="L26" s="5">
        <f t="shared" si="3"/>
        <v>0.60000000000000009</v>
      </c>
      <c r="N26" s="27" t="s">
        <v>81</v>
      </c>
      <c r="O26" s="6" t="s">
        <v>82</v>
      </c>
      <c r="P26" s="6"/>
      <c r="Q26" s="3">
        <v>1</v>
      </c>
      <c r="R26" s="6">
        <v>0.25</v>
      </c>
      <c r="S26" s="6">
        <v>6.25E-2</v>
      </c>
      <c r="T26" s="6">
        <v>0.25</v>
      </c>
      <c r="U26" s="6">
        <v>6.25E-2</v>
      </c>
      <c r="V26" s="6">
        <v>3</v>
      </c>
      <c r="W26" s="28">
        <v>0.75</v>
      </c>
    </row>
    <row r="27" spans="1:25">
      <c r="A27" s="3" t="s">
        <v>79</v>
      </c>
      <c r="B27" s="3" t="s">
        <v>80</v>
      </c>
      <c r="C27" s="3"/>
      <c r="D27" s="3">
        <v>1</v>
      </c>
      <c r="E27" s="21">
        <f>F27/8</f>
        <v>0.25</v>
      </c>
      <c r="F27" s="3">
        <v>2</v>
      </c>
      <c r="G27" s="8">
        <f>0.5/8</f>
        <v>6.25E-2</v>
      </c>
      <c r="H27" s="3" t="s">
        <v>45</v>
      </c>
      <c r="I27" s="6">
        <f t="shared" si="0"/>
        <v>0.25</v>
      </c>
      <c r="J27" s="5">
        <f t="shared" si="1"/>
        <v>6.25E-2</v>
      </c>
      <c r="K27" s="5">
        <f t="shared" si="2"/>
        <v>3</v>
      </c>
      <c r="L27" s="5">
        <f t="shared" si="3"/>
        <v>0.75</v>
      </c>
      <c r="N27" s="31"/>
      <c r="O27" s="32" t="s">
        <v>102</v>
      </c>
      <c r="P27" s="32"/>
      <c r="Q27" s="33">
        <v>49</v>
      </c>
      <c r="R27" s="32">
        <v>10.75</v>
      </c>
      <c r="S27" s="32">
        <v>2.4375</v>
      </c>
      <c r="T27" s="32">
        <v>0.22395833333333334</v>
      </c>
      <c r="U27" s="32">
        <v>5.078125E-2</v>
      </c>
      <c r="V27" s="32">
        <v>2.63</v>
      </c>
      <c r="W27" s="34">
        <v>0.6</v>
      </c>
      <c r="X27">
        <f>V27*2.45</f>
        <v>6.4435000000000002</v>
      </c>
      <c r="Y27">
        <f>W27*1.3</f>
        <v>0.78</v>
      </c>
    </row>
    <row r="28" spans="1:25" ht="28.5">
      <c r="A28" s="3" t="s">
        <v>81</v>
      </c>
      <c r="B28" s="3" t="s">
        <v>82</v>
      </c>
      <c r="C28" s="3"/>
      <c r="D28" s="3">
        <v>1</v>
      </c>
      <c r="E28" s="21">
        <f>F28/8</f>
        <v>0.25</v>
      </c>
      <c r="F28" s="3">
        <v>2</v>
      </c>
      <c r="G28" s="8">
        <f>0.5/8</f>
        <v>6.25E-2</v>
      </c>
      <c r="H28" s="3" t="s">
        <v>45</v>
      </c>
      <c r="I28" s="6">
        <f t="shared" si="0"/>
        <v>0.25</v>
      </c>
      <c r="J28" s="5">
        <f t="shared" si="1"/>
        <v>6.25E-2</v>
      </c>
      <c r="K28" s="5">
        <f t="shared" si="2"/>
        <v>3</v>
      </c>
      <c r="L28" s="5">
        <f t="shared" si="3"/>
        <v>0.75</v>
      </c>
    </row>
    <row r="29" spans="1:25">
      <c r="A29" s="3"/>
      <c r="B29" s="3"/>
      <c r="C29" s="3"/>
      <c r="D29" s="3">
        <f>SUM(D6:D28)</f>
        <v>49</v>
      </c>
      <c r="E29" s="21">
        <f>SUM(E6:E28)</f>
        <v>10.75</v>
      </c>
      <c r="F29" s="3"/>
      <c r="G29" s="8">
        <f>SUM(G6:G28)</f>
        <v>2.4375</v>
      </c>
      <c r="H29" s="3"/>
      <c r="I29" s="6">
        <f>E29/D29</f>
        <v>0.21938775510204081</v>
      </c>
      <c r="J29" s="5">
        <f>G29/D29</f>
        <v>4.9744897959183673E-2</v>
      </c>
      <c r="K29" s="5">
        <f>I29*12</f>
        <v>2.6326530612244898</v>
      </c>
      <c r="L29" s="5">
        <f>J29*12</f>
        <v>0.59693877551020402</v>
      </c>
    </row>
    <row r="30" spans="1:25" ht="42.75">
      <c r="A30" s="22"/>
      <c r="B30" s="22" t="s">
        <v>83</v>
      </c>
      <c r="C30" s="22"/>
      <c r="D30" s="22"/>
      <c r="E30" s="23"/>
      <c r="F30" s="22"/>
      <c r="G30" s="24"/>
      <c r="H30" s="22"/>
      <c r="I30" s="25"/>
    </row>
    <row r="31" spans="1:25">
      <c r="A31" s="3"/>
      <c r="B31" s="3" t="s">
        <v>7</v>
      </c>
      <c r="C31" s="3"/>
      <c r="D31" s="3"/>
      <c r="E31" s="21">
        <v>129</v>
      </c>
      <c r="F31" s="3"/>
      <c r="G31" s="8"/>
      <c r="H31" s="3"/>
      <c r="I31" s="6"/>
    </row>
    <row r="32" spans="1:25" ht="28.5">
      <c r="A32" s="3"/>
      <c r="B32" s="3" t="s">
        <v>84</v>
      </c>
      <c r="C32" s="3"/>
      <c r="D32" s="3"/>
      <c r="E32" s="21">
        <v>5</v>
      </c>
      <c r="F32" s="18">
        <v>1.75</v>
      </c>
      <c r="G32" s="8"/>
      <c r="H32" s="3"/>
      <c r="I32" s="6"/>
    </row>
    <row r="33" spans="1:9">
      <c r="A33" s="3"/>
      <c r="B33" s="3" t="s">
        <v>85</v>
      </c>
      <c r="C33" s="3"/>
      <c r="D33" s="3"/>
      <c r="E33" s="21">
        <v>26</v>
      </c>
      <c r="F33" s="18">
        <v>3.5</v>
      </c>
      <c r="G33" s="8"/>
      <c r="H33" s="3"/>
      <c r="I33" s="6"/>
    </row>
    <row r="34" spans="1:9">
      <c r="A34" s="3"/>
      <c r="B34" s="3"/>
      <c r="C34" s="3"/>
      <c r="D34" s="3"/>
      <c r="E34" s="21"/>
      <c r="F34" s="3"/>
      <c r="G34" s="8"/>
      <c r="H34" s="3"/>
      <c r="I34" s="6"/>
    </row>
    <row r="35" spans="1:9">
      <c r="A35" s="3"/>
      <c r="B35" s="3"/>
      <c r="C35" s="3"/>
      <c r="D35" s="3"/>
      <c r="E35" s="21"/>
      <c r="F35" s="3"/>
      <c r="G35" s="8"/>
      <c r="H35" s="3"/>
      <c r="I35" s="6"/>
    </row>
    <row r="36" spans="1:9">
      <c r="A36" s="3"/>
      <c r="B36" s="3"/>
      <c r="C36" s="3"/>
      <c r="D36" s="3"/>
      <c r="E36" s="21"/>
      <c r="F36" s="3"/>
      <c r="G36" s="8"/>
      <c r="H36" s="3"/>
      <c r="I36" s="6"/>
    </row>
  </sheetData>
  <conditionalFormatting sqref="K6:L2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{BEF581B5-29E2-468E-91A0-564FF13B2AA0}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F581B5-29E2-468E-91A0-564FF13B2A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K6:L28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A405"/>
  <sheetViews>
    <sheetView workbookViewId="0">
      <pane ySplit="1" topLeftCell="A75" activePane="bottomLeft" state="frozen"/>
      <selection pane="bottomLeft" activeCell="R59" sqref="R59:R61"/>
    </sheetView>
  </sheetViews>
  <sheetFormatPr defaultRowHeight="14.25"/>
  <cols>
    <col min="1" max="1" width="10.265625" style="2" customWidth="1"/>
    <col min="2" max="2" width="8.46484375" style="42" customWidth="1"/>
    <col min="3" max="3" width="9.59765625" style="36" customWidth="1"/>
    <col min="4" max="4" width="7.06640625" style="62" customWidth="1"/>
    <col min="5" max="5" width="6.796875" style="2" customWidth="1"/>
    <col min="6" max="6" width="11.06640625" style="95" customWidth="1"/>
    <col min="7" max="7" width="8.265625" style="13" customWidth="1"/>
    <col min="8" max="8" width="7" style="2" customWidth="1"/>
    <col min="9" max="9" width="7.59765625" style="2" customWidth="1"/>
    <col min="10" max="10" width="6.53125" style="2" customWidth="1"/>
    <col min="11" max="11" width="5.46484375" style="12" customWidth="1"/>
    <col min="12" max="12" width="5.59765625" style="13" customWidth="1"/>
    <col min="13" max="13" width="5" style="2" customWidth="1"/>
    <col min="14" max="14" width="8.46484375" style="43" customWidth="1"/>
    <col min="15" max="15" width="10.9296875" style="36" customWidth="1"/>
    <col min="16" max="16" width="10" style="9" customWidth="1"/>
    <col min="17" max="17" width="10.06640625" style="5" customWidth="1"/>
    <col min="18" max="18" width="10.796875" style="2" customWidth="1"/>
    <col min="19" max="21" width="10.796875" customWidth="1"/>
    <col min="22" max="22" width="9" bestFit="1" customWidth="1"/>
    <col min="23" max="23" width="5.796875" bestFit="1" customWidth="1"/>
    <col min="24" max="24" width="11.796875" bestFit="1" customWidth="1"/>
    <col min="25" max="25" width="8.46484375" bestFit="1" customWidth="1"/>
    <col min="26" max="27" width="12.46484375" customWidth="1"/>
    <col min="28" max="28" width="9.796875" customWidth="1"/>
    <col min="29" max="29" width="3.59765625" bestFit="1" customWidth="1"/>
    <col min="30" max="30" width="3.796875" bestFit="1" customWidth="1"/>
    <col min="31" max="31" width="5.59765625" bestFit="1" customWidth="1"/>
    <col min="32" max="32" width="8.06640625" bestFit="1" customWidth="1"/>
    <col min="33" max="33" width="9.53125" bestFit="1" customWidth="1"/>
    <col min="34" max="34" width="11.796875" bestFit="1" customWidth="1"/>
    <col min="35" max="35" width="4.06640625" bestFit="1" customWidth="1"/>
    <col min="36" max="36" width="5.53125" bestFit="1" customWidth="1"/>
    <col min="37" max="37" width="5.9296875" bestFit="1" customWidth="1"/>
    <col min="38" max="38" width="9.33203125" bestFit="1" customWidth="1"/>
    <col min="39" max="39" width="14.9296875" bestFit="1" customWidth="1"/>
    <col min="40" max="40" width="13.33203125" bestFit="1" customWidth="1"/>
    <col min="41" max="41" width="13.19921875" bestFit="1" customWidth="1"/>
    <col min="42" max="42" width="20.06640625" bestFit="1" customWidth="1"/>
    <col min="43" max="43" width="3.33203125" bestFit="1" customWidth="1"/>
    <col min="44" max="44" width="4.19921875" bestFit="1" customWidth="1"/>
    <col min="45" max="45" width="4" bestFit="1" customWidth="1"/>
    <col min="46" max="46" width="5" bestFit="1" customWidth="1"/>
    <col min="47" max="47" width="7.796875" bestFit="1" customWidth="1"/>
    <col min="48" max="48" width="6.9296875" bestFit="1" customWidth="1"/>
    <col min="49" max="49" width="6.796875" bestFit="1" customWidth="1"/>
    <col min="50" max="50" width="6.06640625" bestFit="1" customWidth="1"/>
    <col min="51" max="51" width="9.19921875" bestFit="1" customWidth="1"/>
    <col min="52" max="52" width="5" bestFit="1" customWidth="1"/>
    <col min="53" max="53" width="13.796875" bestFit="1" customWidth="1"/>
    <col min="54" max="54" width="4.06640625" bestFit="1" customWidth="1"/>
    <col min="55" max="55" width="5.796875" bestFit="1" customWidth="1"/>
    <col min="56" max="56" width="7.796875" bestFit="1" customWidth="1"/>
    <col min="57" max="57" width="12.06640625" bestFit="1" customWidth="1"/>
    <col min="58" max="58" width="5.53125" bestFit="1" customWidth="1"/>
    <col min="59" max="59" width="4.33203125" bestFit="1" customWidth="1"/>
    <col min="60" max="60" width="11.796875" bestFit="1" customWidth="1"/>
    <col min="61" max="61" width="5.19921875" bestFit="1" customWidth="1"/>
    <col min="62" max="62" width="10.796875" bestFit="1" customWidth="1"/>
    <col min="63" max="63" width="6.19921875" bestFit="1" customWidth="1"/>
    <col min="64" max="64" width="4.53125" bestFit="1" customWidth="1"/>
    <col min="65" max="65" width="8.06640625" bestFit="1" customWidth="1"/>
    <col min="66" max="67" width="11.796875" bestFit="1" customWidth="1"/>
    <col min="68" max="68" width="10.19921875" bestFit="1" customWidth="1"/>
    <col min="69" max="69" width="7.19921875" bestFit="1" customWidth="1"/>
    <col min="70" max="70" width="5" bestFit="1" customWidth="1"/>
    <col min="71" max="71" width="5.59765625" bestFit="1" customWidth="1"/>
    <col min="72" max="72" width="6" bestFit="1" customWidth="1"/>
    <col min="73" max="73" width="10" bestFit="1" customWidth="1"/>
    <col min="74" max="74" width="16" bestFit="1" customWidth="1"/>
    <col min="75" max="75" width="5.796875" bestFit="1" customWidth="1"/>
    <col min="76" max="76" width="5.46484375" bestFit="1" customWidth="1"/>
    <col min="77" max="77" width="11.796875" bestFit="1" customWidth="1"/>
    <col min="78" max="78" width="8.33203125" bestFit="1" customWidth="1"/>
    <col min="79" max="79" width="12.59765625" bestFit="1" customWidth="1"/>
    <col min="80" max="80" width="4.796875" bestFit="1" customWidth="1"/>
    <col min="81" max="81" width="6.796875" bestFit="1" customWidth="1"/>
    <col min="82" max="82" width="10.46484375" bestFit="1" customWidth="1"/>
    <col min="83" max="83" width="4.796875" bestFit="1" customWidth="1"/>
    <col min="84" max="84" width="6.53125" bestFit="1" customWidth="1"/>
    <col min="85" max="85" width="6.9296875" bestFit="1" customWidth="1"/>
    <col min="86" max="86" width="4.33203125" bestFit="1" customWidth="1"/>
    <col min="87" max="87" width="3.796875" bestFit="1" customWidth="1"/>
    <col min="88" max="88" width="4.796875" bestFit="1" customWidth="1"/>
    <col min="89" max="90" width="11.796875" bestFit="1" customWidth="1"/>
    <col min="91" max="91" width="7.9296875" bestFit="1" customWidth="1"/>
    <col min="92" max="92" width="8.33203125" bestFit="1" customWidth="1"/>
    <col min="93" max="93" width="6.796875" bestFit="1" customWidth="1"/>
    <col min="94" max="94" width="11.796875" bestFit="1" customWidth="1"/>
    <col min="95" max="95" width="8" bestFit="1" customWidth="1"/>
    <col min="96" max="96" width="7.46484375" bestFit="1" customWidth="1"/>
    <col min="97" max="97" width="7.19921875" bestFit="1" customWidth="1"/>
    <col min="98" max="98" width="6.19921875" bestFit="1" customWidth="1"/>
    <col min="99" max="99" width="10.33203125" bestFit="1" customWidth="1"/>
    <col min="100" max="100" width="10.53125" bestFit="1" customWidth="1"/>
    <col min="101" max="101" width="5.796875" bestFit="1" customWidth="1"/>
    <col min="102" max="102" width="5.53125" bestFit="1" customWidth="1"/>
    <col min="103" max="103" width="11.796875" bestFit="1" customWidth="1"/>
    <col min="104" max="104" width="6.796875" bestFit="1" customWidth="1"/>
    <col min="105" max="105" width="10.59765625" bestFit="1" customWidth="1"/>
    <col min="106" max="106" width="6" bestFit="1" customWidth="1"/>
    <col min="107" max="107" width="11.796875" bestFit="1" customWidth="1"/>
    <col min="108" max="108" width="5.33203125" bestFit="1" customWidth="1"/>
    <col min="109" max="109" width="8" bestFit="1" customWidth="1"/>
    <col min="110" max="110" width="6" bestFit="1" customWidth="1"/>
    <col min="111" max="111" width="3.19921875" bestFit="1" customWidth="1"/>
    <col min="112" max="112" width="3.53125" bestFit="1" customWidth="1"/>
    <col min="113" max="113" width="7.46484375" bestFit="1" customWidth="1"/>
    <col min="114" max="114" width="7.796875" bestFit="1" customWidth="1"/>
    <col min="115" max="115" width="7.19921875" bestFit="1" customWidth="1"/>
    <col min="116" max="116" width="6.9296875" bestFit="1" customWidth="1"/>
    <col min="117" max="117" width="5.9296875" bestFit="1" customWidth="1"/>
    <col min="118" max="119" width="11.796875" bestFit="1" customWidth="1"/>
    <col min="120" max="120" width="10.53125" bestFit="1" customWidth="1"/>
    <col min="121" max="121" width="10.33203125" bestFit="1" customWidth="1"/>
    <col min="122" max="122" width="4.46484375" bestFit="1" customWidth="1"/>
    <col min="123" max="123" width="11.796875" bestFit="1" customWidth="1"/>
    <col min="124" max="124" width="13" bestFit="1" customWidth="1"/>
    <col min="125" max="125" width="11.796875" bestFit="1" customWidth="1"/>
    <col min="126" max="126" width="6.796875" bestFit="1" customWidth="1"/>
    <col min="127" max="127" width="11.796875" bestFit="1" customWidth="1"/>
  </cols>
  <sheetData>
    <row r="1" spans="1:27" ht="63.5" customHeight="1">
      <c r="A1" s="37" t="s">
        <v>5</v>
      </c>
      <c r="B1" s="38" t="s">
        <v>276</v>
      </c>
      <c r="C1" s="41" t="s">
        <v>277</v>
      </c>
      <c r="D1" s="61" t="s">
        <v>278</v>
      </c>
      <c r="E1" s="38" t="s">
        <v>291</v>
      </c>
      <c r="F1" s="93" t="s">
        <v>273</v>
      </c>
      <c r="G1" s="40" t="s">
        <v>279</v>
      </c>
      <c r="H1" s="38" t="s">
        <v>280</v>
      </c>
      <c r="I1" s="38" t="s">
        <v>281</v>
      </c>
      <c r="J1" s="38" t="s">
        <v>282</v>
      </c>
      <c r="K1" s="39" t="s">
        <v>274</v>
      </c>
      <c r="L1" s="40" t="s">
        <v>283</v>
      </c>
      <c r="M1" s="38" t="s">
        <v>284</v>
      </c>
      <c r="N1" s="38" t="s">
        <v>332</v>
      </c>
      <c r="O1" s="41" t="s">
        <v>287</v>
      </c>
      <c r="P1" s="40" t="s">
        <v>285</v>
      </c>
      <c r="Q1" s="38" t="s">
        <v>286</v>
      </c>
      <c r="R1" s="38" t="s">
        <v>275</v>
      </c>
      <c r="S1" s="103" t="s">
        <v>585</v>
      </c>
      <c r="T1" s="103" t="s">
        <v>587</v>
      </c>
      <c r="U1" s="103" t="s">
        <v>586</v>
      </c>
      <c r="V1" s="11" t="s">
        <v>333</v>
      </c>
      <c r="Y1" t="s">
        <v>8</v>
      </c>
      <c r="Z1" t="s">
        <v>10</v>
      </c>
      <c r="AA1" t="s">
        <v>11</v>
      </c>
    </row>
    <row r="2" spans="1:27" ht="21" customHeight="1">
      <c r="A2" s="37">
        <v>1706</v>
      </c>
      <c r="B2" s="38">
        <v>0.45</v>
      </c>
      <c r="C2" s="41"/>
      <c r="D2" s="61"/>
      <c r="E2" s="38"/>
      <c r="F2" s="93"/>
      <c r="G2" s="40"/>
      <c r="H2" s="38">
        <v>0.7</v>
      </c>
      <c r="I2" s="38"/>
      <c r="J2" s="38"/>
      <c r="K2" s="39"/>
      <c r="L2" s="40"/>
      <c r="M2" s="38"/>
      <c r="N2" s="38">
        <v>2</v>
      </c>
      <c r="O2" s="46">
        <f>N2*0.257732</f>
        <v>0.51546400000000003</v>
      </c>
      <c r="P2" s="40"/>
      <c r="Q2" s="38"/>
      <c r="R2" s="38"/>
      <c r="S2" s="104">
        <v>1</v>
      </c>
      <c r="T2" s="104">
        <v>24.72</v>
      </c>
      <c r="U2" s="104"/>
      <c r="V2" s="58"/>
    </row>
    <row r="3" spans="1:27" ht="21" customHeight="1">
      <c r="A3" s="37">
        <v>1708</v>
      </c>
      <c r="B3" s="38">
        <v>0.45</v>
      </c>
      <c r="C3" s="41"/>
      <c r="D3" s="61"/>
      <c r="E3" s="38">
        <v>0.27</v>
      </c>
      <c r="F3" s="93"/>
      <c r="G3" s="40"/>
      <c r="H3" s="38">
        <v>0.7</v>
      </c>
      <c r="I3" s="38"/>
      <c r="J3" s="38"/>
      <c r="K3" s="39"/>
      <c r="L3" s="40"/>
      <c r="M3" s="38"/>
      <c r="N3" s="38">
        <v>2</v>
      </c>
      <c r="O3" s="46">
        <f>N3*0.257732</f>
        <v>0.51546400000000003</v>
      </c>
      <c r="P3" s="40"/>
      <c r="Q3" s="38"/>
      <c r="R3" s="38"/>
      <c r="S3" s="104">
        <v>1</v>
      </c>
      <c r="T3" s="104">
        <v>24.72</v>
      </c>
      <c r="U3" s="104"/>
      <c r="V3" s="58"/>
    </row>
    <row r="4" spans="1:27" ht="21" customHeight="1">
      <c r="A4" s="37">
        <v>1718</v>
      </c>
      <c r="B4" s="38">
        <v>1.29</v>
      </c>
      <c r="C4" s="97">
        <v>0.02</v>
      </c>
      <c r="D4" s="61">
        <v>4.6249999999999999E-2</v>
      </c>
      <c r="E4" s="38">
        <v>0.24</v>
      </c>
      <c r="F4" s="94">
        <f>2.110043*B4+12.19512*C4+12.19512*D4+E4*0.42735</f>
        <v>3.6324461700000001</v>
      </c>
      <c r="G4" s="40"/>
      <c r="H4" s="38">
        <v>1.0900000000000001</v>
      </c>
      <c r="I4" s="38">
        <v>0.02</v>
      </c>
      <c r="J4" s="63">
        <f>0.02*1.34/0.03</f>
        <v>0.89333333333333342</v>
      </c>
      <c r="K4" s="44">
        <f>H4*0.15873+I4*7.042254+J4*0.079365</f>
        <v>0.38476018000000006</v>
      </c>
      <c r="L4" s="40"/>
      <c r="M4" s="38"/>
      <c r="N4" s="38">
        <v>2.0550000000000002</v>
      </c>
      <c r="O4" s="46">
        <f>N4*0.257732</f>
        <v>0.52963926000000006</v>
      </c>
      <c r="P4" s="40"/>
      <c r="Q4" s="43">
        <f>(F4+K4+O4)*0.05</f>
        <v>0.22734228050000002</v>
      </c>
      <c r="R4" s="43">
        <f>F4+K4+O4+Q4</f>
        <v>4.7741878905000004</v>
      </c>
      <c r="S4" s="105">
        <v>1</v>
      </c>
      <c r="T4" s="105">
        <v>20.59</v>
      </c>
      <c r="U4" s="105">
        <f>R4*S4*T4</f>
        <v>98.300528665395007</v>
      </c>
      <c r="V4" s="58"/>
    </row>
    <row r="5" spans="1:27" ht="23.55" customHeight="1">
      <c r="A5" s="37">
        <v>1725</v>
      </c>
      <c r="B5" s="38">
        <f>((0.03+0.04)/2)*8</f>
        <v>0.28000000000000003</v>
      </c>
      <c r="C5" s="41"/>
      <c r="D5" s="61">
        <v>6.875E-3</v>
      </c>
      <c r="E5" s="38">
        <v>0.24</v>
      </c>
      <c r="F5" s="93"/>
      <c r="G5" s="40"/>
      <c r="H5" s="38"/>
      <c r="I5" s="38">
        <v>0.02</v>
      </c>
      <c r="J5" s="38"/>
      <c r="K5" s="39"/>
      <c r="L5" s="40"/>
      <c r="M5" s="38"/>
      <c r="N5" s="38"/>
      <c r="O5" s="41"/>
      <c r="P5" s="40"/>
      <c r="Q5" s="38"/>
      <c r="R5" s="38"/>
      <c r="S5" s="104">
        <v>1</v>
      </c>
      <c r="T5" s="105">
        <v>20.59</v>
      </c>
      <c r="U5" s="104"/>
      <c r="V5" s="58"/>
    </row>
    <row r="6" spans="1:27" ht="25.5" customHeight="1">
      <c r="A6" s="37">
        <v>1726</v>
      </c>
      <c r="B6" s="38">
        <v>0.3</v>
      </c>
      <c r="C6" s="41"/>
      <c r="D6" s="61"/>
      <c r="E6" s="38">
        <v>0.24</v>
      </c>
      <c r="F6" s="93"/>
      <c r="G6" s="40"/>
      <c r="H6" s="38"/>
      <c r="I6" s="38">
        <v>0.02</v>
      </c>
      <c r="J6" s="38"/>
      <c r="K6" s="39"/>
      <c r="L6" s="40"/>
      <c r="M6" s="38"/>
      <c r="N6" s="38"/>
      <c r="O6" s="41"/>
      <c r="P6" s="40"/>
      <c r="Q6" s="38"/>
      <c r="R6" s="38"/>
      <c r="S6" s="104">
        <v>1</v>
      </c>
      <c r="T6" s="105">
        <v>20.59</v>
      </c>
      <c r="U6" s="104"/>
      <c r="V6" s="58"/>
    </row>
    <row r="7" spans="1:27" ht="15" customHeight="1">
      <c r="A7" s="37">
        <v>1727</v>
      </c>
      <c r="B7" s="38"/>
      <c r="C7" s="41"/>
      <c r="D7" s="61"/>
      <c r="E7" s="38"/>
      <c r="F7" s="93"/>
      <c r="G7" s="40"/>
      <c r="H7" s="38"/>
      <c r="I7" s="38"/>
      <c r="J7" s="38"/>
      <c r="K7" s="39"/>
      <c r="L7" s="40"/>
      <c r="M7" s="38"/>
      <c r="N7" s="38"/>
      <c r="O7" s="41"/>
      <c r="P7" s="40"/>
      <c r="Q7" s="38"/>
      <c r="R7" s="38"/>
      <c r="S7" s="104">
        <v>1</v>
      </c>
      <c r="T7" s="105">
        <v>20.59</v>
      </c>
      <c r="U7" s="104"/>
      <c r="V7" s="58"/>
    </row>
    <row r="8" spans="1:27" ht="19.5" customHeight="1">
      <c r="A8" s="37">
        <v>1728</v>
      </c>
      <c r="B8" s="38">
        <v>0.81499999999999995</v>
      </c>
      <c r="C8" s="41">
        <v>0.02</v>
      </c>
      <c r="D8" s="61">
        <v>0.04</v>
      </c>
      <c r="E8" s="38">
        <v>0.24</v>
      </c>
      <c r="F8" s="94">
        <f>2.110043*B8+12.19512*C8+12.19512*D8+E8*0.42735</f>
        <v>2.5539562450000002</v>
      </c>
      <c r="G8" s="40"/>
      <c r="H8" s="38">
        <v>1.1724999999999999</v>
      </c>
      <c r="I8" s="38">
        <v>0.02</v>
      </c>
      <c r="J8" s="63">
        <f>0.02*(1.34/0.03)</f>
        <v>0.89333333333333342</v>
      </c>
      <c r="K8" s="44">
        <f>H8*0.15873+I8*7.042254+J8*0.079365</f>
        <v>0.397855405</v>
      </c>
      <c r="L8" s="40"/>
      <c r="M8" s="38"/>
      <c r="N8" s="63">
        <f>(N10+N11)/2</f>
        <v>3.7749999999999999</v>
      </c>
      <c r="O8" s="46">
        <f>N8*0.257732</f>
        <v>0.97293830000000003</v>
      </c>
      <c r="P8" s="40"/>
      <c r="Q8" s="43">
        <f>(F8+K8+O8)*0.05</f>
        <v>0.19623749750000002</v>
      </c>
      <c r="R8" s="43">
        <f>F8+K8+O8+Q8</f>
        <v>4.1209874475000001</v>
      </c>
      <c r="S8" s="104">
        <v>1</v>
      </c>
      <c r="T8" s="105">
        <v>20.59</v>
      </c>
      <c r="U8" s="105">
        <f>R8*S8*T8</f>
        <v>84.851131544025009</v>
      </c>
      <c r="V8" s="58" t="s">
        <v>334</v>
      </c>
    </row>
    <row r="9" spans="1:27" ht="26.55" customHeight="1">
      <c r="A9" s="37">
        <v>1729</v>
      </c>
      <c r="B9" s="38">
        <v>0.76666666666666661</v>
      </c>
      <c r="C9" s="41"/>
      <c r="D9" s="61">
        <v>3.2500000000000001E-2</v>
      </c>
      <c r="E9" s="38">
        <v>0.24</v>
      </c>
      <c r="F9" s="93"/>
      <c r="G9" s="40"/>
      <c r="H9" s="38">
        <v>1.2</v>
      </c>
      <c r="I9" s="38">
        <v>0.01</v>
      </c>
      <c r="J9" s="38"/>
      <c r="K9" s="39"/>
      <c r="L9" s="40"/>
      <c r="M9" s="38"/>
      <c r="N9" s="38"/>
      <c r="O9" s="41"/>
      <c r="P9" s="40"/>
      <c r="Q9" s="38"/>
      <c r="R9" s="38"/>
      <c r="S9" s="104">
        <v>1</v>
      </c>
      <c r="T9" s="105">
        <v>20.59</v>
      </c>
      <c r="U9" s="104"/>
      <c r="V9" s="58"/>
    </row>
    <row r="10" spans="1:27" ht="27.5" customHeight="1">
      <c r="A10" s="37">
        <v>1730</v>
      </c>
      <c r="B10" s="38">
        <v>0.57999999999999996</v>
      </c>
      <c r="C10" s="41"/>
      <c r="D10" s="61"/>
      <c r="E10" s="38"/>
      <c r="F10" s="93"/>
      <c r="G10" s="40"/>
      <c r="H10" s="38">
        <v>0.9</v>
      </c>
      <c r="I10" s="38"/>
      <c r="J10" s="38"/>
      <c r="K10" s="39"/>
      <c r="L10" s="40"/>
      <c r="M10" s="38"/>
      <c r="N10" s="38">
        <v>3.33</v>
      </c>
      <c r="O10" s="46">
        <f>N10*0.257732</f>
        <v>0.85824756000000002</v>
      </c>
      <c r="P10" s="40"/>
      <c r="Q10" s="38"/>
      <c r="R10" s="38"/>
      <c r="S10" s="104">
        <v>1</v>
      </c>
      <c r="T10" s="105">
        <v>20.59</v>
      </c>
      <c r="U10" s="104"/>
      <c r="V10" s="58"/>
    </row>
    <row r="11" spans="1:27" ht="26" customHeight="1">
      <c r="A11" s="37">
        <v>1731</v>
      </c>
      <c r="B11" s="38">
        <v>0.62883148360760299</v>
      </c>
      <c r="C11" s="41"/>
      <c r="D11" s="61"/>
      <c r="E11" s="38"/>
      <c r="F11" s="93"/>
      <c r="G11" s="40"/>
      <c r="H11" s="38">
        <v>1.35</v>
      </c>
      <c r="I11" s="38">
        <v>0.03</v>
      </c>
      <c r="J11" s="38"/>
      <c r="K11" s="39"/>
      <c r="L11" s="40"/>
      <c r="M11" s="38"/>
      <c r="N11" s="38">
        <v>4.22</v>
      </c>
      <c r="O11" s="46">
        <f>N11*0.257732</f>
        <v>1.0876290399999999</v>
      </c>
      <c r="P11" s="40"/>
      <c r="Q11" s="38"/>
      <c r="R11" s="38"/>
      <c r="S11" s="104">
        <v>1</v>
      </c>
      <c r="T11" s="104">
        <v>20.74</v>
      </c>
      <c r="U11" s="104"/>
      <c r="V11" s="58"/>
    </row>
    <row r="12" spans="1:27" ht="18.5" customHeight="1">
      <c r="A12" s="37">
        <v>1732</v>
      </c>
      <c r="B12" s="38"/>
      <c r="C12" s="41"/>
      <c r="D12" s="61">
        <v>0.04</v>
      </c>
      <c r="E12" s="38">
        <v>0.27</v>
      </c>
      <c r="F12" s="93"/>
      <c r="G12" s="40"/>
      <c r="H12" s="38">
        <v>0.82676190476190459</v>
      </c>
      <c r="I12" s="38">
        <v>0.03</v>
      </c>
      <c r="J12" s="38"/>
      <c r="K12" s="39"/>
      <c r="L12" s="40"/>
      <c r="M12" s="38"/>
      <c r="N12" s="38">
        <v>2</v>
      </c>
      <c r="O12" s="46">
        <f>N12*0.257732</f>
        <v>0.51546400000000003</v>
      </c>
      <c r="P12" s="40"/>
      <c r="Q12" s="38"/>
      <c r="R12" s="38"/>
      <c r="S12" s="104">
        <v>1</v>
      </c>
      <c r="T12" s="104">
        <v>20.74</v>
      </c>
      <c r="U12" s="104"/>
      <c r="V12" s="58"/>
    </row>
    <row r="13" spans="1:27" ht="25.5" customHeight="1">
      <c r="A13" s="37">
        <v>1733</v>
      </c>
      <c r="B13" s="38"/>
      <c r="C13" s="41"/>
      <c r="D13" s="61"/>
      <c r="E13" s="38"/>
      <c r="F13" s="93"/>
      <c r="G13" s="40"/>
      <c r="H13" s="38"/>
      <c r="I13" s="38"/>
      <c r="J13" s="38"/>
      <c r="K13" s="39"/>
      <c r="L13" s="40"/>
      <c r="M13" s="38"/>
      <c r="N13" s="38"/>
      <c r="O13" s="41"/>
      <c r="P13" s="40"/>
      <c r="Q13" s="38"/>
      <c r="R13" s="38"/>
      <c r="S13" s="104">
        <v>1</v>
      </c>
      <c r="T13" s="104">
        <v>20.74</v>
      </c>
      <c r="U13" s="104"/>
      <c r="V13" s="58"/>
    </row>
    <row r="14" spans="1:27" ht="20.55" customHeight="1">
      <c r="A14" s="37">
        <v>1734</v>
      </c>
      <c r="B14" s="38"/>
      <c r="C14" s="41"/>
      <c r="D14" s="61"/>
      <c r="E14" s="38">
        <v>0.25</v>
      </c>
      <c r="F14" s="93"/>
      <c r="G14" s="40"/>
      <c r="H14" s="38"/>
      <c r="I14" s="38">
        <v>0.01</v>
      </c>
      <c r="J14" s="38"/>
      <c r="K14" s="39"/>
      <c r="L14" s="40"/>
      <c r="M14" s="38"/>
      <c r="N14" s="38"/>
      <c r="O14" s="41"/>
      <c r="P14" s="40"/>
      <c r="Q14" s="38"/>
      <c r="R14" s="38"/>
      <c r="S14" s="104">
        <v>1</v>
      </c>
      <c r="T14" s="104">
        <v>20.74</v>
      </c>
      <c r="U14" s="104"/>
      <c r="V14" s="58"/>
    </row>
    <row r="15" spans="1:27">
      <c r="A15" s="42">
        <v>1735</v>
      </c>
      <c r="B15" s="43"/>
      <c r="C15" s="46"/>
      <c r="E15" s="43">
        <v>0.24</v>
      </c>
      <c r="F15" s="94"/>
      <c r="G15" s="45"/>
      <c r="H15" s="43">
        <v>1.2</v>
      </c>
      <c r="I15" s="43">
        <v>0.02</v>
      </c>
      <c r="J15" s="43"/>
      <c r="K15" s="44"/>
      <c r="L15" s="45"/>
      <c r="M15" s="43"/>
      <c r="O15" s="46"/>
      <c r="P15" s="45"/>
      <c r="Q15" s="43"/>
      <c r="R15" s="42"/>
      <c r="S15" s="104">
        <v>1</v>
      </c>
      <c r="T15" s="104">
        <v>20.74</v>
      </c>
      <c r="U15" s="106"/>
      <c r="V15" s="7"/>
      <c r="X15">
        <v>1763</v>
      </c>
      <c r="Y15">
        <v>46.945150373187658</v>
      </c>
      <c r="Z15">
        <v>30.387605336429427</v>
      </c>
      <c r="AA15">
        <v>17.905339528478152</v>
      </c>
    </row>
    <row r="16" spans="1:27">
      <c r="A16" s="42">
        <v>1736</v>
      </c>
      <c r="B16" s="43"/>
      <c r="C16" s="46"/>
      <c r="D16" s="62">
        <v>9.5833333333333326E-2</v>
      </c>
      <c r="E16" s="43">
        <v>0.25</v>
      </c>
      <c r="F16" s="94"/>
      <c r="G16" s="45"/>
      <c r="H16" s="43">
        <v>1.2</v>
      </c>
      <c r="I16" s="43">
        <v>0.01</v>
      </c>
      <c r="J16" s="43"/>
      <c r="K16" s="44"/>
      <c r="L16" s="45"/>
      <c r="M16" s="43"/>
      <c r="O16" s="46"/>
      <c r="P16" s="45"/>
      <c r="Q16" s="43"/>
      <c r="R16" s="42"/>
      <c r="S16" s="104">
        <v>1</v>
      </c>
      <c r="T16" s="104">
        <v>20.74</v>
      </c>
      <c r="U16" s="106"/>
      <c r="V16" s="7"/>
      <c r="X16">
        <v>1764</v>
      </c>
      <c r="Y16">
        <v>38.039030802321832</v>
      </c>
      <c r="Z16">
        <v>40.127794915366962</v>
      </c>
      <c r="AA16">
        <v>17.071269520406425</v>
      </c>
    </row>
    <row r="17" spans="1:27">
      <c r="A17" s="42">
        <v>1737</v>
      </c>
      <c r="B17" s="43">
        <v>0.8</v>
      </c>
      <c r="C17" s="46"/>
      <c r="E17" s="43"/>
      <c r="F17" s="94"/>
      <c r="G17" s="45"/>
      <c r="H17" s="43"/>
      <c r="I17" s="43"/>
      <c r="J17" s="43"/>
      <c r="K17" s="44"/>
      <c r="L17" s="45"/>
      <c r="M17" s="43"/>
      <c r="O17" s="46"/>
      <c r="P17" s="45"/>
      <c r="Q17" s="43"/>
      <c r="R17" s="42"/>
      <c r="S17" s="104">
        <v>1</v>
      </c>
      <c r="T17" s="104">
        <v>20.74</v>
      </c>
      <c r="U17" s="106"/>
      <c r="V17" s="7"/>
      <c r="X17">
        <v>1777</v>
      </c>
      <c r="Y17">
        <v>50.59168123981528</v>
      </c>
      <c r="Z17">
        <v>39.027733331431627</v>
      </c>
      <c r="AA17">
        <v>5.6186806668483369</v>
      </c>
    </row>
    <row r="18" spans="1:27">
      <c r="A18" s="42">
        <v>1738</v>
      </c>
      <c r="B18" s="65">
        <v>0.8</v>
      </c>
      <c r="C18" s="46">
        <v>1.325E-2</v>
      </c>
      <c r="D18" s="62">
        <v>3.6666666666666667E-2</v>
      </c>
      <c r="E18" s="43">
        <v>0.24</v>
      </c>
      <c r="F18" s="94">
        <f>2.110043*B18+12.19512*C18+12.19512*D18+E18*0.42735</f>
        <v>2.3993381400000002</v>
      </c>
      <c r="G18" s="45"/>
      <c r="H18" s="43">
        <v>1.29</v>
      </c>
      <c r="I18" s="43">
        <v>0.03</v>
      </c>
      <c r="J18" s="43">
        <v>1.34</v>
      </c>
      <c r="K18" s="44">
        <f>H18*0.15873+I18*7.042254+J18*0.079365</f>
        <v>0.52237842000000001</v>
      </c>
      <c r="L18" s="45"/>
      <c r="M18" s="43">
        <f>F18+K18</f>
        <v>2.9217165600000001</v>
      </c>
      <c r="N18" s="43">
        <v>3.47</v>
      </c>
      <c r="O18" s="46">
        <f>N18*0.257732</f>
        <v>0.89433004000000016</v>
      </c>
      <c r="P18" s="45"/>
      <c r="Q18" s="43">
        <f>(F18+K18+O18)*0.05</f>
        <v>0.19080233000000002</v>
      </c>
      <c r="R18" s="43">
        <f>F18+K18+O18+Q18</f>
        <v>4.0068489300000003</v>
      </c>
      <c r="S18" s="104">
        <v>1</v>
      </c>
      <c r="T18" s="104">
        <v>20.74</v>
      </c>
      <c r="U18" s="105">
        <f>R18*S18*T18</f>
        <v>83.102046808200001</v>
      </c>
      <c r="V18" s="7" t="s">
        <v>0</v>
      </c>
      <c r="W18">
        <v>2.0932697403285636</v>
      </c>
      <c r="X18">
        <v>1786</v>
      </c>
      <c r="Y18">
        <v>56.343409652852522</v>
      </c>
      <c r="Z18">
        <v>26.21032530829163</v>
      </c>
      <c r="AA18">
        <v>12.684360276951098</v>
      </c>
    </row>
    <row r="19" spans="1:27">
      <c r="A19" s="42">
        <v>1741</v>
      </c>
      <c r="B19" s="43"/>
      <c r="C19" s="46"/>
      <c r="E19" s="43">
        <v>0.24</v>
      </c>
      <c r="F19" s="94"/>
      <c r="G19" s="45"/>
      <c r="H19" s="43">
        <v>1.7</v>
      </c>
      <c r="I19" s="43">
        <v>0.03</v>
      </c>
      <c r="J19" s="43">
        <v>1.2</v>
      </c>
      <c r="K19" s="44"/>
      <c r="L19" s="45"/>
      <c r="M19" s="43"/>
      <c r="O19" s="46"/>
      <c r="P19" s="45"/>
      <c r="Q19" s="43"/>
      <c r="R19" s="42"/>
      <c r="S19" s="104">
        <v>1</v>
      </c>
      <c r="T19" s="104">
        <v>20.74</v>
      </c>
      <c r="U19" s="106"/>
      <c r="V19" s="7" t="s">
        <v>1</v>
      </c>
      <c r="W19">
        <v>12.195121951219512</v>
      </c>
      <c r="X19">
        <v>1793</v>
      </c>
      <c r="Y19">
        <v>63.879540352942655</v>
      </c>
      <c r="Z19">
        <v>25.359165169535743</v>
      </c>
      <c r="AA19">
        <v>5.999389715616843</v>
      </c>
    </row>
    <row r="20" spans="1:27">
      <c r="A20" s="42">
        <v>1744</v>
      </c>
      <c r="B20" s="43">
        <v>1.3</v>
      </c>
      <c r="C20" s="46"/>
      <c r="E20" s="43"/>
      <c r="F20" s="94"/>
      <c r="G20" s="45"/>
      <c r="H20" s="43"/>
      <c r="I20" s="43"/>
      <c r="J20" s="43"/>
      <c r="K20" s="44"/>
      <c r="L20" s="45"/>
      <c r="M20" s="43"/>
      <c r="O20" s="46"/>
      <c r="P20" s="45"/>
      <c r="Q20" s="43"/>
      <c r="R20" s="42"/>
      <c r="S20" s="104">
        <v>1</v>
      </c>
      <c r="T20" s="104">
        <v>20.74</v>
      </c>
      <c r="U20" s="106"/>
      <c r="V20" s="7" t="s">
        <v>2</v>
      </c>
      <c r="W20">
        <v>12.195121951219512</v>
      </c>
      <c r="X20">
        <v>1794</v>
      </c>
      <c r="Y20">
        <v>65.40276212225443</v>
      </c>
      <c r="Z20">
        <v>22.189732600476692</v>
      </c>
      <c r="AA20">
        <v>7.6456005153641007</v>
      </c>
    </row>
    <row r="21" spans="1:27">
      <c r="A21" s="42">
        <v>1745</v>
      </c>
      <c r="B21" s="43">
        <v>1</v>
      </c>
      <c r="C21" s="46"/>
      <c r="E21" s="43"/>
      <c r="F21" s="94"/>
      <c r="G21" s="45"/>
      <c r="H21" s="43"/>
      <c r="I21" s="43"/>
      <c r="J21" s="43"/>
      <c r="K21" s="44"/>
      <c r="L21" s="45"/>
      <c r="M21" s="43"/>
      <c r="O21" s="46"/>
      <c r="P21" s="45"/>
      <c r="Q21" s="43"/>
      <c r="R21" s="42"/>
      <c r="S21" s="104">
        <v>1</v>
      </c>
      <c r="T21" s="104">
        <v>20.74</v>
      </c>
      <c r="U21" s="106"/>
      <c r="V21" s="7" t="s">
        <v>6</v>
      </c>
      <c r="W21">
        <v>0.42735042735042739</v>
      </c>
      <c r="X21">
        <v>1795</v>
      </c>
      <c r="Y21">
        <v>65.511565302048538</v>
      </c>
      <c r="Z21">
        <v>22.776011311121895</v>
      </c>
      <c r="AA21">
        <v>6.9505186249248085</v>
      </c>
    </row>
    <row r="22" spans="1:27">
      <c r="A22" s="42">
        <v>1746</v>
      </c>
      <c r="B22" s="43">
        <v>0.9</v>
      </c>
      <c r="C22" s="46"/>
      <c r="E22" s="43"/>
      <c r="F22" s="94"/>
      <c r="G22" s="45"/>
      <c r="H22" s="43"/>
      <c r="I22" s="43">
        <v>0.04</v>
      </c>
      <c r="J22" s="43"/>
      <c r="K22" s="44"/>
      <c r="L22" s="45"/>
      <c r="M22" s="43"/>
      <c r="O22" s="46"/>
      <c r="P22" s="45"/>
      <c r="Q22" s="43"/>
      <c r="R22" s="42"/>
      <c r="S22" s="104">
        <v>1</v>
      </c>
      <c r="T22" s="104">
        <v>20.74</v>
      </c>
      <c r="U22" s="106"/>
      <c r="V22" s="7" t="s">
        <v>4</v>
      </c>
      <c r="W22">
        <v>7.9365079365079375E-2</v>
      </c>
      <c r="X22">
        <v>1796</v>
      </c>
      <c r="Y22">
        <v>63.308304788246701</v>
      </c>
      <c r="Z22">
        <v>26.753660994597464</v>
      </c>
      <c r="AA22">
        <v>5.1761294552510932</v>
      </c>
    </row>
    <row r="23" spans="1:27">
      <c r="A23" s="42">
        <v>1747</v>
      </c>
      <c r="B23" s="43">
        <v>0.9</v>
      </c>
      <c r="C23" s="46"/>
      <c r="E23" s="43"/>
      <c r="F23" s="94"/>
      <c r="G23" s="45"/>
      <c r="H23" s="43"/>
      <c r="I23" s="43"/>
      <c r="J23" s="43"/>
      <c r="K23" s="44"/>
      <c r="L23" s="45"/>
      <c r="M23" s="43"/>
      <c r="O23" s="46"/>
      <c r="P23" s="45"/>
      <c r="Q23" s="43"/>
      <c r="R23" s="42"/>
      <c r="S23" s="104">
        <v>1</v>
      </c>
      <c r="T23" s="104">
        <v>20.74</v>
      </c>
      <c r="U23" s="106"/>
      <c r="V23" s="7" t="s">
        <v>3</v>
      </c>
      <c r="W23">
        <v>7.9365079365079375E-2</v>
      </c>
      <c r="X23">
        <v>1797</v>
      </c>
      <c r="Y23">
        <v>53.434434093357638</v>
      </c>
      <c r="Z23">
        <v>36.276982658705883</v>
      </c>
      <c r="AA23">
        <v>5.5266784860317051</v>
      </c>
    </row>
    <row r="24" spans="1:27">
      <c r="A24" s="42">
        <v>1748</v>
      </c>
      <c r="B24" s="43">
        <v>1</v>
      </c>
      <c r="C24" s="46"/>
      <c r="E24" s="43"/>
      <c r="F24" s="94"/>
      <c r="G24" s="45"/>
      <c r="H24" s="43"/>
      <c r="I24" s="43"/>
      <c r="J24" s="43"/>
      <c r="K24" s="44"/>
      <c r="L24" s="45"/>
      <c r="M24" s="43"/>
      <c r="O24" s="46"/>
      <c r="P24" s="45"/>
      <c r="Q24" s="43"/>
      <c r="R24" s="42"/>
      <c r="S24" s="104">
        <v>1</v>
      </c>
      <c r="T24" s="104">
        <v>20.74</v>
      </c>
      <c r="U24" s="106"/>
      <c r="V24" s="7"/>
      <c r="X24">
        <v>1798</v>
      </c>
      <c r="Y24">
        <v>55.842197730160905</v>
      </c>
      <c r="Z24">
        <v>32.904164093693176</v>
      </c>
      <c r="AA24">
        <v>6.4917334142411489</v>
      </c>
    </row>
    <row r="25" spans="1:27">
      <c r="A25" s="42">
        <v>1749</v>
      </c>
      <c r="B25" s="43">
        <v>1.7</v>
      </c>
      <c r="C25" s="46"/>
      <c r="E25" s="43"/>
      <c r="F25" s="94"/>
      <c r="G25" s="45"/>
      <c r="H25" s="43"/>
      <c r="I25" s="43"/>
      <c r="J25" s="43"/>
      <c r="K25" s="44"/>
      <c r="L25" s="45"/>
      <c r="M25" s="43"/>
      <c r="O25" s="46"/>
      <c r="P25" s="45"/>
      <c r="Q25" s="43"/>
      <c r="R25" s="42"/>
      <c r="S25" s="104">
        <v>1</v>
      </c>
      <c r="T25" s="104">
        <v>20.74</v>
      </c>
      <c r="U25" s="106"/>
      <c r="V25" s="7"/>
      <c r="X25">
        <v>1799</v>
      </c>
      <c r="Y25">
        <v>54.468145593830968</v>
      </c>
      <c r="Z25">
        <v>34.809528247686089</v>
      </c>
      <c r="AA25">
        <v>5.9604213965781758</v>
      </c>
    </row>
    <row r="26" spans="1:27">
      <c r="A26" s="42">
        <v>1750</v>
      </c>
      <c r="B26" s="43">
        <v>1.2</v>
      </c>
      <c r="C26" s="46"/>
      <c r="E26" s="43"/>
      <c r="F26" s="94"/>
      <c r="G26" s="45"/>
      <c r="H26" s="43"/>
      <c r="I26" s="43"/>
      <c r="J26" s="43"/>
      <c r="K26" s="44"/>
      <c r="L26" s="45"/>
      <c r="M26" s="43"/>
      <c r="O26" s="46"/>
      <c r="P26" s="45"/>
      <c r="Q26" s="43"/>
      <c r="R26" s="42"/>
      <c r="S26" s="104">
        <v>1</v>
      </c>
      <c r="T26" s="104">
        <v>20.74</v>
      </c>
      <c r="U26" s="106"/>
      <c r="V26" s="7"/>
      <c r="X26">
        <v>1800</v>
      </c>
      <c r="Y26">
        <v>55.089386383442154</v>
      </c>
      <c r="Z26">
        <v>31.664852474979259</v>
      </c>
      <c r="AA26">
        <v>8.4838563796738349</v>
      </c>
    </row>
    <row r="27" spans="1:27">
      <c r="A27" s="42">
        <v>1751</v>
      </c>
      <c r="B27" s="43">
        <v>1.1499999999999999</v>
      </c>
      <c r="C27" s="46"/>
      <c r="E27" s="43"/>
      <c r="F27" s="94"/>
      <c r="G27" s="45"/>
      <c r="H27" s="43"/>
      <c r="I27" s="43"/>
      <c r="J27" s="43"/>
      <c r="K27" s="44"/>
      <c r="L27" s="45"/>
      <c r="M27" s="43"/>
      <c r="O27" s="46"/>
      <c r="P27" s="45"/>
      <c r="Q27" s="43"/>
      <c r="R27" s="42"/>
      <c r="S27" s="104">
        <v>1</v>
      </c>
      <c r="T27" s="104">
        <v>20.74</v>
      </c>
      <c r="U27" s="106"/>
      <c r="V27" s="7"/>
      <c r="X27">
        <v>1802</v>
      </c>
      <c r="Y27">
        <v>52.227002203056067</v>
      </c>
      <c r="Z27">
        <v>35.726007758770905</v>
      </c>
      <c r="AA27">
        <v>7.285085276268279</v>
      </c>
    </row>
    <row r="28" spans="1:27">
      <c r="A28" s="42">
        <v>1752</v>
      </c>
      <c r="B28" s="43">
        <v>1.1000000000000001</v>
      </c>
      <c r="C28" s="46"/>
      <c r="E28" s="43"/>
      <c r="F28" s="94"/>
      <c r="G28" s="45"/>
      <c r="H28" s="43"/>
      <c r="I28" s="43"/>
      <c r="J28" s="43"/>
      <c r="K28" s="44"/>
      <c r="L28" s="45"/>
      <c r="M28" s="43"/>
      <c r="O28" s="46"/>
      <c r="P28" s="45"/>
      <c r="Q28" s="43"/>
      <c r="R28" s="42"/>
      <c r="S28" s="104">
        <v>1</v>
      </c>
      <c r="T28" s="104">
        <v>20.74</v>
      </c>
      <c r="U28" s="106"/>
      <c r="V28" s="7"/>
      <c r="X28">
        <v>1805</v>
      </c>
      <c r="Y28">
        <v>47.632512684529793</v>
      </c>
      <c r="Z28">
        <v>41.264797655192588</v>
      </c>
      <c r="AA28">
        <v>6.340784898372851</v>
      </c>
    </row>
    <row r="29" spans="1:27">
      <c r="A29" s="42">
        <v>1753</v>
      </c>
      <c r="B29" s="43">
        <v>0.9</v>
      </c>
      <c r="C29" s="46"/>
      <c r="E29" s="43"/>
      <c r="F29" s="94"/>
      <c r="G29" s="45"/>
      <c r="H29" s="43"/>
      <c r="I29" s="43"/>
      <c r="J29" s="43"/>
      <c r="K29" s="44"/>
      <c r="L29" s="45"/>
      <c r="M29" s="43"/>
      <c r="O29" s="46"/>
      <c r="P29" s="45"/>
      <c r="Q29" s="43"/>
      <c r="R29" s="42"/>
      <c r="S29" s="104">
        <v>1</v>
      </c>
      <c r="T29" s="104">
        <v>20.74</v>
      </c>
      <c r="U29" s="106"/>
      <c r="V29" s="7"/>
    </row>
    <row r="30" spans="1:27">
      <c r="A30" s="42">
        <v>1757</v>
      </c>
      <c r="B30" s="43">
        <v>0.75</v>
      </c>
      <c r="C30" s="46"/>
      <c r="E30" s="43"/>
      <c r="F30" s="94"/>
      <c r="G30" s="45"/>
      <c r="H30" s="43"/>
      <c r="I30" s="43">
        <v>0.04</v>
      </c>
      <c r="J30" s="43">
        <v>1.8</v>
      </c>
      <c r="K30" s="44"/>
      <c r="L30" s="45"/>
      <c r="M30" s="43"/>
      <c r="N30" s="43">
        <v>4.03</v>
      </c>
      <c r="O30" s="46"/>
      <c r="P30" s="45"/>
      <c r="Q30" s="43"/>
      <c r="R30" s="42"/>
      <c r="S30" s="104">
        <v>1</v>
      </c>
      <c r="T30" s="104">
        <v>20.74</v>
      </c>
      <c r="U30" s="106"/>
      <c r="V30" s="7"/>
    </row>
    <row r="31" spans="1:27">
      <c r="A31" s="42">
        <v>1758</v>
      </c>
      <c r="B31" s="43">
        <v>0.9</v>
      </c>
      <c r="C31" s="46"/>
      <c r="E31" s="43"/>
      <c r="F31" s="94"/>
      <c r="G31" s="45"/>
      <c r="H31" s="43"/>
      <c r="I31" s="43"/>
      <c r="J31" s="43"/>
      <c r="K31" s="44"/>
      <c r="L31" s="45"/>
      <c r="M31" s="43"/>
      <c r="O31" s="46"/>
      <c r="P31" s="45"/>
      <c r="Q31" s="43"/>
      <c r="R31" s="42"/>
      <c r="S31" s="104">
        <v>1</v>
      </c>
      <c r="T31" s="104">
        <v>20.74</v>
      </c>
      <c r="U31" s="106"/>
      <c r="V31" s="7"/>
    </row>
    <row r="32" spans="1:27">
      <c r="A32" s="42">
        <v>1759</v>
      </c>
      <c r="B32" s="43">
        <v>0.85</v>
      </c>
      <c r="C32" s="46"/>
      <c r="E32" s="43"/>
      <c r="F32" s="94"/>
      <c r="G32" s="45"/>
      <c r="H32" s="43"/>
      <c r="I32" s="43"/>
      <c r="J32" s="43"/>
      <c r="K32" s="44"/>
      <c r="L32" s="45"/>
      <c r="M32" s="43"/>
      <c r="O32" s="46"/>
      <c r="P32" s="45"/>
      <c r="Q32" s="43"/>
      <c r="R32" s="42"/>
      <c r="S32" s="104">
        <v>1</v>
      </c>
      <c r="T32" s="104">
        <v>20.74</v>
      </c>
      <c r="U32" s="106"/>
      <c r="V32" s="7"/>
    </row>
    <row r="33" spans="1:26">
      <c r="A33" s="42">
        <v>1760</v>
      </c>
      <c r="B33" s="43">
        <v>0.75666666666666671</v>
      </c>
      <c r="C33" s="46"/>
      <c r="E33" s="43"/>
      <c r="F33" s="94"/>
      <c r="G33" s="45"/>
      <c r="H33" s="43"/>
      <c r="I33" s="43"/>
      <c r="J33" s="43"/>
      <c r="K33" s="44"/>
      <c r="L33" s="45"/>
      <c r="M33" s="43"/>
      <c r="O33" s="46"/>
      <c r="P33" s="45"/>
      <c r="Q33" s="43"/>
      <c r="R33" s="42"/>
      <c r="S33" s="104">
        <v>1</v>
      </c>
      <c r="T33" s="104">
        <v>20.74</v>
      </c>
      <c r="U33" s="106"/>
      <c r="V33" s="7"/>
    </row>
    <row r="34" spans="1:26">
      <c r="A34" s="42">
        <v>1761</v>
      </c>
      <c r="B34" s="43">
        <v>0.74333333333333329</v>
      </c>
      <c r="C34" s="46"/>
      <c r="E34" s="43"/>
      <c r="F34" s="94"/>
      <c r="G34" s="45"/>
      <c r="H34" s="43">
        <v>1.6</v>
      </c>
      <c r="I34" s="43"/>
      <c r="J34" s="43"/>
      <c r="K34" s="44"/>
      <c r="L34" s="45"/>
      <c r="M34" s="43"/>
      <c r="O34" s="46"/>
      <c r="P34" s="45"/>
      <c r="Q34" s="43"/>
      <c r="R34" s="42"/>
      <c r="S34" s="104">
        <v>1</v>
      </c>
      <c r="T34" s="104">
        <v>20.74</v>
      </c>
      <c r="U34" s="106"/>
      <c r="V34" s="7"/>
    </row>
    <row r="35" spans="1:26">
      <c r="A35" s="42">
        <v>1762</v>
      </c>
      <c r="B35" s="43">
        <v>1.0266666666666666</v>
      </c>
      <c r="C35" s="46">
        <v>0.01</v>
      </c>
      <c r="D35" s="62">
        <v>0.05</v>
      </c>
      <c r="E35" s="43">
        <v>0.4</v>
      </c>
      <c r="F35" s="94">
        <f>2.110043*B35+12.19512*C35+12.19512*D35+E35*0.42735</f>
        <v>3.068958013333333</v>
      </c>
      <c r="G35" s="45"/>
      <c r="H35" s="59">
        <f>(H34+H36)/2</f>
        <v>1.82</v>
      </c>
      <c r="I35" s="43">
        <v>0.03</v>
      </c>
      <c r="J35" s="43">
        <v>2.2000000000000002</v>
      </c>
      <c r="K35" s="44">
        <f>H35*0.15873+I35*7.042254+J35*0.079365</f>
        <v>0.6747592200000001</v>
      </c>
      <c r="L35" s="45"/>
      <c r="M35" s="43">
        <f>F35+K35</f>
        <v>3.7437172333333333</v>
      </c>
      <c r="N35" s="43">
        <v>1</v>
      </c>
      <c r="O35" s="46">
        <f>N35*0.257732</f>
        <v>0.25773200000000002</v>
      </c>
      <c r="P35" s="45"/>
      <c r="Q35" s="43">
        <f>(F35+K35+O35)*0.05</f>
        <v>0.20007246166666667</v>
      </c>
      <c r="R35" s="43">
        <f>F35+K35+O35+Q35</f>
        <v>4.2015216949999994</v>
      </c>
      <c r="S35" s="104">
        <v>1</v>
      </c>
      <c r="T35" s="104">
        <v>20.74</v>
      </c>
      <c r="U35" s="105">
        <f>R35*S35*T35</f>
        <v>87.139559954299983</v>
      </c>
      <c r="V35" s="7"/>
    </row>
    <row r="36" spans="1:26">
      <c r="A36" s="42">
        <v>1763</v>
      </c>
      <c r="B36" s="43">
        <v>1.0449999999999999</v>
      </c>
      <c r="C36" s="46">
        <v>1.2500000000000001E-2</v>
      </c>
      <c r="D36" s="62">
        <v>5.1250000000000004E-2</v>
      </c>
      <c r="E36" s="43">
        <v>0.4</v>
      </c>
      <c r="F36" s="94">
        <f>2.110043*B36+12.19512*C36+12.19512*D36+E36*0.42735</f>
        <v>3.1533738349999996</v>
      </c>
      <c r="G36" s="45">
        <f>F36*100/R36</f>
        <v>72.91828980702229</v>
      </c>
      <c r="H36" s="43">
        <v>2.04</v>
      </c>
      <c r="I36" s="43">
        <v>0.02</v>
      </c>
      <c r="J36" s="43">
        <v>2.8000000000000003</v>
      </c>
      <c r="K36" s="44">
        <f>H36*0.15873+I36*7.042254+J36*0.079365</f>
        <v>0.68687628000000012</v>
      </c>
      <c r="L36" s="45">
        <f>K36*100/R36</f>
        <v>15.883255924399274</v>
      </c>
      <c r="M36" s="43">
        <f>F36+K36</f>
        <v>3.8402501149999999</v>
      </c>
      <c r="N36" s="43">
        <v>1.08</v>
      </c>
      <c r="O36" s="46">
        <f>N36*0.257732</f>
        <v>0.27835056000000002</v>
      </c>
      <c r="P36" s="45">
        <f>O36*100/R36</f>
        <v>6.4365495066736829</v>
      </c>
      <c r="Q36" s="43">
        <f>(F36+K36+O36)*0.05</f>
        <v>0.20593003374999999</v>
      </c>
      <c r="R36" s="43">
        <f>F36+K36+O36+Q36</f>
        <v>4.3245307087499993</v>
      </c>
      <c r="S36" s="104">
        <v>1</v>
      </c>
      <c r="T36" s="104">
        <v>20.74</v>
      </c>
      <c r="U36" s="105">
        <f>R36*S36*T36</f>
        <v>89.69076689947498</v>
      </c>
      <c r="V36" s="7"/>
      <c r="W36">
        <f>3.14/167</f>
        <v>1.8802395209580838E-2</v>
      </c>
      <c r="X36">
        <f>W36+W36/3</f>
        <v>2.5069860279441119E-2</v>
      </c>
      <c r="Z36" t="s">
        <v>294</v>
      </c>
    </row>
    <row r="37" spans="1:26">
      <c r="A37" s="42">
        <v>1764</v>
      </c>
      <c r="B37" s="43">
        <v>1.0266666666666666</v>
      </c>
      <c r="C37" s="46">
        <v>1.2500000000000001E-2</v>
      </c>
      <c r="D37" s="62">
        <v>0.05</v>
      </c>
      <c r="E37" s="43">
        <v>0.4</v>
      </c>
      <c r="F37" s="94">
        <f>2.110043*B37+12.19512*C37+12.19512*D37+E37*0.42735</f>
        <v>3.0994458133333334</v>
      </c>
      <c r="G37" s="45">
        <f>F37*100/R37</f>
        <v>72.936635824482153</v>
      </c>
      <c r="H37" s="43">
        <f>(1.76+1.6)/2</f>
        <v>1.6800000000000002</v>
      </c>
      <c r="I37" s="43">
        <v>0.03</v>
      </c>
      <c r="J37" s="43">
        <v>1.6</v>
      </c>
      <c r="K37" s="44">
        <f>H37*0.15873+I37*7.042254+J37*0.079365</f>
        <v>0.60491802000000006</v>
      </c>
      <c r="L37" s="45">
        <f>K37*100/R37</f>
        <v>14.235023931893403</v>
      </c>
      <c r="M37" s="43">
        <f>F37+K37</f>
        <v>3.7043638333333333</v>
      </c>
      <c r="N37" s="43">
        <v>1.33</v>
      </c>
      <c r="O37" s="46">
        <f>N37*0.257732</f>
        <v>0.34278356000000004</v>
      </c>
      <c r="P37" s="45">
        <f>O37*100/R37</f>
        <v>8.0664354817196848</v>
      </c>
      <c r="Q37" s="43">
        <f>(F37+K37+O37)*0.05</f>
        <v>0.2023573696666667</v>
      </c>
      <c r="R37" s="43">
        <f>F37+K37+O37+Q37</f>
        <v>4.249504763</v>
      </c>
      <c r="S37" s="104">
        <v>1</v>
      </c>
      <c r="T37" s="105">
        <v>18</v>
      </c>
      <c r="U37" s="105">
        <f>R37*S37*T37</f>
        <v>76.491085733999995</v>
      </c>
      <c r="V37" s="47"/>
      <c r="W37">
        <f>3.08/167</f>
        <v>1.844311377245509E-2</v>
      </c>
      <c r="X37">
        <f>W37+W37/3</f>
        <v>2.4590818363273453E-2</v>
      </c>
      <c r="Z37" s="49" t="s">
        <v>293</v>
      </c>
    </row>
    <row r="38" spans="1:26">
      <c r="A38" s="42">
        <v>1765</v>
      </c>
      <c r="B38" s="43">
        <v>1.2233333333333334</v>
      </c>
      <c r="C38" s="46"/>
      <c r="E38" s="43"/>
      <c r="F38" s="94"/>
      <c r="G38" s="45"/>
      <c r="H38" s="43"/>
      <c r="I38" s="43">
        <v>4.4999999999999998E-2</v>
      </c>
      <c r="J38" s="43">
        <v>1.6</v>
      </c>
      <c r="K38" s="44">
        <f>H38*0.15873+I38*7.042254+J38*0.079365</f>
        <v>0.44388543000000003</v>
      </c>
      <c r="L38" s="45"/>
      <c r="M38" s="43"/>
      <c r="O38" s="46"/>
      <c r="P38" s="45"/>
      <c r="Q38" s="43"/>
      <c r="R38" s="42"/>
      <c r="S38" s="104">
        <v>1</v>
      </c>
      <c r="T38" s="105">
        <v>18</v>
      </c>
      <c r="U38" s="106"/>
      <c r="V38" s="7"/>
    </row>
    <row r="39" spans="1:26">
      <c r="A39" s="42">
        <v>1766</v>
      </c>
      <c r="B39" s="43">
        <v>2.2799999999999998</v>
      </c>
      <c r="C39" s="46"/>
      <c r="E39" s="43"/>
      <c r="F39" s="94"/>
      <c r="G39" s="45"/>
      <c r="H39" s="43"/>
      <c r="I39" s="43">
        <v>0.03</v>
      </c>
      <c r="J39" s="43"/>
      <c r="K39" s="44"/>
      <c r="L39" s="45"/>
      <c r="M39" s="43"/>
      <c r="O39" s="46"/>
      <c r="P39" s="45"/>
      <c r="Q39" s="43"/>
      <c r="R39" s="42"/>
      <c r="S39" s="104">
        <v>1</v>
      </c>
      <c r="T39" s="105">
        <v>18</v>
      </c>
      <c r="U39" s="106"/>
      <c r="V39" s="7"/>
    </row>
    <row r="40" spans="1:26">
      <c r="A40" s="42">
        <v>1767</v>
      </c>
      <c r="B40" s="43">
        <v>2.5939999999999999</v>
      </c>
      <c r="C40" s="46">
        <v>0.01</v>
      </c>
      <c r="D40" s="62">
        <v>0.06</v>
      </c>
      <c r="E40" s="43">
        <v>0.5</v>
      </c>
      <c r="F40" s="94">
        <f>2.110043*B40+12.19512*C40+12.19512*D40+E40*0.42735</f>
        <v>6.5407849420000002</v>
      </c>
      <c r="G40" s="45">
        <f>F40*100/R40</f>
        <v>79.972630178767602</v>
      </c>
      <c r="H40" s="43">
        <v>1.6</v>
      </c>
      <c r="I40" s="43">
        <v>0.05</v>
      </c>
      <c r="J40" s="43">
        <v>1.6</v>
      </c>
      <c r="K40" s="44">
        <f>H40*0.15873+I40*7.042254+J40*0.079365</f>
        <v>0.73306470000000001</v>
      </c>
      <c r="L40" s="45">
        <f>K40*100/R40</f>
        <v>8.9630086709873087</v>
      </c>
      <c r="M40" s="43">
        <f>F40+K40</f>
        <v>7.2738496420000001</v>
      </c>
      <c r="N40" s="43">
        <v>2</v>
      </c>
      <c r="O40" s="46">
        <f>N40*0.257732</f>
        <v>0.51546400000000003</v>
      </c>
      <c r="P40" s="45">
        <f>O40*100/R40</f>
        <v>6.3024563883403495</v>
      </c>
      <c r="Q40" s="43">
        <f>(F40+K40+O40)*0.05</f>
        <v>0.38946568209999999</v>
      </c>
      <c r="R40" s="43">
        <f>F40+K40+O40+Q40</f>
        <v>8.1787793240999989</v>
      </c>
      <c r="S40" s="104">
        <v>1</v>
      </c>
      <c r="T40" s="105">
        <v>18</v>
      </c>
      <c r="U40" s="105">
        <f>R40*S40*T40</f>
        <v>147.21802783379997</v>
      </c>
      <c r="V40" s="48"/>
    </row>
    <row r="41" spans="1:26">
      <c r="A41" s="42">
        <v>1768</v>
      </c>
      <c r="B41" s="43">
        <v>2.2950000000000004</v>
      </c>
      <c r="C41" s="46"/>
      <c r="E41" s="43"/>
      <c r="F41" s="94"/>
      <c r="G41" s="45"/>
      <c r="H41" s="43"/>
      <c r="I41" s="43">
        <v>0.05</v>
      </c>
      <c r="J41" s="43"/>
      <c r="K41" s="44"/>
      <c r="L41" s="45"/>
      <c r="M41" s="43"/>
      <c r="O41" s="46"/>
      <c r="P41" s="45"/>
      <c r="Q41" s="43"/>
      <c r="R41" s="42"/>
      <c r="S41" s="104">
        <v>1</v>
      </c>
      <c r="T41" s="105">
        <v>18</v>
      </c>
      <c r="U41" s="106"/>
      <c r="V41" s="7"/>
    </row>
    <row r="42" spans="1:26">
      <c r="A42" s="42">
        <v>1769</v>
      </c>
      <c r="B42" s="43">
        <v>2.1</v>
      </c>
      <c r="C42" s="46"/>
      <c r="D42" s="62">
        <v>0.05</v>
      </c>
      <c r="E42" s="43">
        <v>0.39990234375</v>
      </c>
      <c r="F42" s="94"/>
      <c r="G42" s="45"/>
      <c r="H42" s="43">
        <v>2.65</v>
      </c>
      <c r="I42" s="43">
        <v>6.3333333333333339E-2</v>
      </c>
      <c r="J42" s="43"/>
      <c r="K42" s="44"/>
      <c r="L42" s="45"/>
      <c r="M42" s="43"/>
      <c r="N42" s="43">
        <v>1.05</v>
      </c>
      <c r="O42" s="46"/>
      <c r="P42" s="45"/>
      <c r="Q42" s="43"/>
      <c r="R42" s="42"/>
      <c r="S42" s="106">
        <v>0.99009900990099009</v>
      </c>
      <c r="T42" s="105">
        <v>18</v>
      </c>
      <c r="U42" s="106"/>
      <c r="V42" s="47">
        <f>AVERAGE(R36:R42)</f>
        <v>5.5842715986166667</v>
      </c>
    </row>
    <row r="43" spans="1:26">
      <c r="A43" s="42">
        <v>1770</v>
      </c>
      <c r="B43" s="43">
        <v>1.54</v>
      </c>
      <c r="C43" s="46"/>
      <c r="D43" s="62">
        <v>0.05</v>
      </c>
      <c r="E43" s="43">
        <v>0.39990234375</v>
      </c>
      <c r="F43" s="94"/>
      <c r="G43" s="45"/>
      <c r="H43" s="43">
        <v>2.4666666666666668</v>
      </c>
      <c r="I43" s="43"/>
      <c r="J43" s="43"/>
      <c r="K43" s="44"/>
      <c r="L43" s="45"/>
      <c r="M43" s="43"/>
      <c r="N43" s="43">
        <v>1.17</v>
      </c>
      <c r="O43" s="46"/>
      <c r="P43" s="45"/>
      <c r="Q43" s="43"/>
      <c r="R43" s="42"/>
      <c r="S43" s="106">
        <v>0.99009900990099009</v>
      </c>
      <c r="T43" s="105">
        <v>18</v>
      </c>
      <c r="U43" s="106"/>
      <c r="V43" s="7"/>
    </row>
    <row r="44" spans="1:26">
      <c r="A44" s="42">
        <v>1771</v>
      </c>
      <c r="B44" s="43">
        <v>1.3433333333333335</v>
      </c>
      <c r="C44" s="46"/>
      <c r="E44" s="43"/>
      <c r="F44" s="94"/>
      <c r="G44" s="45"/>
      <c r="H44" s="43"/>
      <c r="I44" s="43"/>
      <c r="J44" s="43"/>
      <c r="K44" s="44"/>
      <c r="L44" s="45"/>
      <c r="M44" s="43"/>
      <c r="O44" s="46"/>
      <c r="P44" s="45"/>
      <c r="Q44" s="43"/>
      <c r="R44" s="42"/>
      <c r="S44" s="106">
        <v>0.98039215686274506</v>
      </c>
      <c r="T44" s="105">
        <v>18</v>
      </c>
      <c r="U44" s="106"/>
      <c r="V44" s="7"/>
    </row>
    <row r="45" spans="1:26">
      <c r="A45" s="42">
        <v>1772</v>
      </c>
      <c r="B45" s="43">
        <v>1.7342857142857142</v>
      </c>
      <c r="C45" s="46"/>
      <c r="D45" s="62">
        <v>2.9000000000000001E-2</v>
      </c>
      <c r="E45" s="43">
        <v>0.39990234375</v>
      </c>
      <c r="F45" s="94"/>
      <c r="G45" s="45"/>
      <c r="H45" s="43">
        <v>2.27</v>
      </c>
      <c r="I45" s="43"/>
      <c r="J45" s="43"/>
      <c r="K45" s="44"/>
      <c r="L45" s="45"/>
      <c r="M45" s="43"/>
      <c r="N45" s="43">
        <v>3.35</v>
      </c>
      <c r="O45" s="46">
        <f>N45*0.257732</f>
        <v>0.86340220000000012</v>
      </c>
      <c r="P45" s="45"/>
      <c r="Q45" s="43"/>
      <c r="R45" s="42"/>
      <c r="S45" s="106">
        <v>0.970873786407767</v>
      </c>
      <c r="T45" s="105">
        <v>18</v>
      </c>
      <c r="U45" s="106"/>
      <c r="V45" s="7"/>
    </row>
    <row r="46" spans="1:26">
      <c r="A46" s="42">
        <v>1773</v>
      </c>
      <c r="B46" s="43">
        <v>1.7914285714285714</v>
      </c>
      <c r="C46" s="46"/>
      <c r="E46" s="43"/>
      <c r="F46" s="94"/>
      <c r="G46" s="45"/>
      <c r="H46" s="43"/>
      <c r="I46" s="43"/>
      <c r="J46" s="43"/>
      <c r="K46" s="44"/>
      <c r="L46" s="45"/>
      <c r="M46" s="43"/>
      <c r="O46" s="46"/>
      <c r="P46" s="45"/>
      <c r="Q46" s="43"/>
      <c r="R46" s="42"/>
      <c r="S46" s="106">
        <v>0.98039215686274506</v>
      </c>
      <c r="T46" s="105">
        <v>18</v>
      </c>
      <c r="U46" s="106"/>
      <c r="V46" s="7"/>
    </row>
    <row r="47" spans="1:26">
      <c r="A47" s="42">
        <v>1774</v>
      </c>
      <c r="B47" s="43">
        <v>2.0300000000000002</v>
      </c>
      <c r="C47" s="46"/>
      <c r="E47" s="43"/>
      <c r="F47" s="94"/>
      <c r="G47" s="45"/>
      <c r="H47" s="43"/>
      <c r="I47" s="43"/>
      <c r="J47" s="43"/>
      <c r="K47" s="44"/>
      <c r="L47" s="45"/>
      <c r="M47" s="43"/>
      <c r="O47" s="46"/>
      <c r="P47" s="45"/>
      <c r="Q47" s="43"/>
      <c r="R47" s="42"/>
      <c r="S47" s="106">
        <v>1</v>
      </c>
      <c r="T47" s="105">
        <v>18</v>
      </c>
      <c r="U47" s="106"/>
      <c r="V47" s="7"/>
    </row>
    <row r="48" spans="1:26">
      <c r="A48" s="42">
        <v>1775</v>
      </c>
      <c r="B48" s="43">
        <v>2.6475</v>
      </c>
      <c r="C48" s="46"/>
      <c r="D48" s="62">
        <v>5.5000000000000007E-2</v>
      </c>
      <c r="E48" s="43">
        <v>0.39990234375</v>
      </c>
      <c r="F48" s="94"/>
      <c r="G48" s="45"/>
      <c r="H48" s="43">
        <v>2.5</v>
      </c>
      <c r="I48" s="43">
        <v>0.09</v>
      </c>
      <c r="J48" s="43"/>
      <c r="K48" s="44"/>
      <c r="L48" s="45"/>
      <c r="M48" s="43"/>
      <c r="N48" s="43">
        <v>2.4</v>
      </c>
      <c r="O48" s="46"/>
      <c r="P48" s="45"/>
      <c r="Q48" s="43"/>
      <c r="R48" s="42"/>
      <c r="S48" s="106">
        <v>0.99009900990099009</v>
      </c>
      <c r="T48" s="105">
        <v>18</v>
      </c>
      <c r="U48" s="106"/>
      <c r="V48" s="7"/>
    </row>
    <row r="49" spans="1:26">
      <c r="A49" s="42">
        <v>1776</v>
      </c>
      <c r="B49" s="43">
        <v>2.1825000000000001</v>
      </c>
      <c r="C49" s="46"/>
      <c r="E49" s="43"/>
      <c r="F49" s="94"/>
      <c r="G49" s="45"/>
      <c r="H49" s="43">
        <v>2</v>
      </c>
      <c r="I49" s="43"/>
      <c r="J49" s="43"/>
      <c r="K49" s="44"/>
      <c r="L49" s="45"/>
      <c r="M49" s="43"/>
      <c r="N49" s="43">
        <v>4.32</v>
      </c>
      <c r="O49" s="46"/>
      <c r="P49" s="45"/>
      <c r="Q49" s="43"/>
      <c r="R49" s="42"/>
      <c r="S49" s="106">
        <v>0.99009900990099009</v>
      </c>
      <c r="T49" s="105">
        <v>18</v>
      </c>
      <c r="U49" s="106"/>
      <c r="V49" s="7"/>
    </row>
    <row r="50" spans="1:26">
      <c r="A50" s="42">
        <v>1777</v>
      </c>
      <c r="B50" s="43">
        <v>1.66</v>
      </c>
      <c r="C50" s="46">
        <v>2.5000000000000001E-2</v>
      </c>
      <c r="D50" s="62">
        <v>0.06</v>
      </c>
      <c r="E50" s="43">
        <v>0.4</v>
      </c>
      <c r="F50" s="94">
        <f>2.110043*B50+12.19512*C50+12.19512*D50+E50*0.42735</f>
        <v>4.7101965799999999</v>
      </c>
      <c r="G50" s="45">
        <f>F50*100/R50</f>
        <v>76.992759107307691</v>
      </c>
      <c r="H50" s="43">
        <v>2</v>
      </c>
      <c r="I50" s="43">
        <v>4.4999999999999998E-2</v>
      </c>
      <c r="J50" s="43">
        <v>1.2</v>
      </c>
      <c r="K50" s="44">
        <f>H50*0.15873+I50*7.042254+J50*0.079365</f>
        <v>0.72959943000000005</v>
      </c>
      <c r="L50" s="45">
        <f>K50*100/R50</f>
        <v>11.926014595089152</v>
      </c>
      <c r="M50" s="43">
        <f>F50+K50</f>
        <v>5.4397960100000002</v>
      </c>
      <c r="N50" s="43">
        <v>1.5</v>
      </c>
      <c r="O50" s="46">
        <f>N50*0.257732</f>
        <v>0.386598</v>
      </c>
      <c r="P50" s="45">
        <f>O50*100/R50</f>
        <v>6.3193215356983963</v>
      </c>
      <c r="Q50" s="43">
        <f>(F50+K50+O50)*0.05</f>
        <v>0.29131970050000006</v>
      </c>
      <c r="R50" s="43">
        <f>F50+K50+O50+Q50</f>
        <v>6.1177137105000003</v>
      </c>
      <c r="S50" s="105">
        <v>0.99009900990099009</v>
      </c>
      <c r="T50" s="105">
        <v>18</v>
      </c>
      <c r="U50" s="105">
        <f>R50*S50*T50</f>
        <v>109.02856117722773</v>
      </c>
      <c r="V50" s="7"/>
      <c r="W50">
        <f>F50/167</f>
        <v>2.8204769940119761E-2</v>
      </c>
      <c r="X50">
        <f>W50+W50/3</f>
        <v>3.7606359920159683E-2</v>
      </c>
    </row>
    <row r="51" spans="1:26">
      <c r="A51" s="42">
        <v>1778</v>
      </c>
      <c r="B51" s="43">
        <v>1.4249999999999998</v>
      </c>
      <c r="C51" s="46"/>
      <c r="D51" s="62">
        <v>0.02</v>
      </c>
      <c r="E51" s="43">
        <v>0.39990234375</v>
      </c>
      <c r="F51" s="94"/>
      <c r="G51" s="45"/>
      <c r="H51" s="43"/>
      <c r="I51" s="43"/>
      <c r="J51" s="43">
        <v>4</v>
      </c>
      <c r="K51" s="44"/>
      <c r="L51" s="45"/>
      <c r="M51" s="43"/>
      <c r="N51" s="43">
        <v>1.65</v>
      </c>
      <c r="O51" s="46"/>
      <c r="P51" s="45"/>
      <c r="Q51" s="43"/>
      <c r="R51" s="42"/>
      <c r="S51" s="106">
        <v>0.99009900990099009</v>
      </c>
      <c r="T51" s="105">
        <v>18</v>
      </c>
      <c r="U51" s="106"/>
      <c r="V51" s="7"/>
    </row>
    <row r="52" spans="1:26">
      <c r="A52" s="42">
        <v>1779</v>
      </c>
      <c r="B52" s="43">
        <v>1.855</v>
      </c>
      <c r="C52" s="46"/>
      <c r="E52" s="43"/>
      <c r="F52" s="94"/>
      <c r="G52" s="45"/>
      <c r="H52" s="43"/>
      <c r="I52" s="43">
        <v>0.06</v>
      </c>
      <c r="J52" s="43"/>
      <c r="K52" s="44"/>
      <c r="L52" s="45"/>
      <c r="M52" s="43"/>
      <c r="O52" s="46"/>
      <c r="P52" s="45"/>
      <c r="Q52" s="43"/>
      <c r="R52" s="42"/>
      <c r="S52" s="106">
        <v>0.99009900990099009</v>
      </c>
      <c r="T52" s="105">
        <v>18</v>
      </c>
      <c r="U52" s="106"/>
      <c r="V52" s="7"/>
    </row>
    <row r="53" spans="1:26">
      <c r="A53" s="42">
        <v>1780</v>
      </c>
      <c r="B53" s="43">
        <v>1.98</v>
      </c>
      <c r="C53" s="46">
        <v>4.4999999999999998E-2</v>
      </c>
      <c r="E53" s="43"/>
      <c r="F53" s="94"/>
      <c r="G53" s="45"/>
      <c r="H53" s="43">
        <v>2.8</v>
      </c>
      <c r="I53" s="43">
        <v>0.05</v>
      </c>
      <c r="J53" s="43"/>
      <c r="K53" s="44"/>
      <c r="L53" s="45"/>
      <c r="M53" s="43"/>
      <c r="N53" s="43">
        <v>1.98</v>
      </c>
      <c r="O53" s="46"/>
      <c r="P53" s="45"/>
      <c r="Q53" s="43"/>
      <c r="R53" s="42"/>
      <c r="S53" s="106">
        <v>0.99009900990099009</v>
      </c>
      <c r="T53" s="105">
        <v>18</v>
      </c>
      <c r="U53" s="106"/>
      <c r="V53" s="7"/>
    </row>
    <row r="54" spans="1:26">
      <c r="A54" s="42">
        <v>1781</v>
      </c>
      <c r="B54" s="60">
        <v>1.5175000000000001</v>
      </c>
      <c r="C54" s="46"/>
      <c r="E54" s="43"/>
      <c r="F54" s="94"/>
      <c r="G54" s="45"/>
      <c r="H54" s="43"/>
      <c r="I54" s="43">
        <v>4.2499999999999996E-2</v>
      </c>
      <c r="J54" s="43"/>
      <c r="K54" s="44"/>
      <c r="L54" s="45"/>
      <c r="M54" s="43"/>
      <c r="O54" s="46"/>
      <c r="P54" s="45"/>
      <c r="Q54" s="43"/>
      <c r="R54" s="42"/>
      <c r="S54" s="106">
        <v>0.99009900990099009</v>
      </c>
      <c r="T54" s="105">
        <v>18</v>
      </c>
      <c r="U54" s="106"/>
      <c r="V54" s="7"/>
    </row>
    <row r="55" spans="1:26">
      <c r="A55" s="42">
        <v>1782</v>
      </c>
      <c r="B55" s="43">
        <v>3.125</v>
      </c>
      <c r="C55" s="46">
        <v>5.8125000000000003E-2</v>
      </c>
      <c r="D55" s="62">
        <v>0.11899999999999999</v>
      </c>
      <c r="E55" s="43"/>
      <c r="F55" s="94"/>
      <c r="G55" s="45"/>
      <c r="H55" s="43"/>
      <c r="I55" s="43"/>
      <c r="J55" s="43"/>
      <c r="K55" s="44"/>
      <c r="L55" s="45"/>
      <c r="M55" s="43"/>
      <c r="N55" s="43">
        <v>1.5</v>
      </c>
      <c r="O55" s="46"/>
      <c r="P55" s="45"/>
      <c r="Q55" s="43"/>
      <c r="R55" s="42"/>
      <c r="S55" s="106">
        <v>0.99009900990099009</v>
      </c>
      <c r="T55" s="105">
        <v>18</v>
      </c>
      <c r="U55" s="106"/>
      <c r="V55" s="7"/>
    </row>
    <row r="56" spans="1:26">
      <c r="A56" s="42">
        <v>1783</v>
      </c>
      <c r="B56" s="43">
        <v>3.125</v>
      </c>
      <c r="C56" s="46">
        <v>1.7500000000000002E-2</v>
      </c>
      <c r="D56" s="62">
        <v>0.11899999999999999</v>
      </c>
      <c r="E56" s="43"/>
      <c r="F56" s="94"/>
      <c r="G56" s="45"/>
      <c r="H56" s="43"/>
      <c r="I56" s="43"/>
      <c r="J56" s="43"/>
      <c r="K56" s="44"/>
      <c r="L56" s="45"/>
      <c r="M56" s="43"/>
      <c r="O56" s="46"/>
      <c r="P56" s="45"/>
      <c r="Q56" s="43"/>
      <c r="R56" s="42"/>
      <c r="S56" s="106">
        <v>0.99009900990099009</v>
      </c>
      <c r="T56" s="105">
        <v>18</v>
      </c>
      <c r="U56" s="106"/>
      <c r="V56" s="7"/>
    </row>
    <row r="57" spans="1:26">
      <c r="A57" s="42">
        <v>1784</v>
      </c>
      <c r="B57" s="43">
        <v>3.125</v>
      </c>
      <c r="C57" s="46">
        <v>1.7500000000000002E-2</v>
      </c>
      <c r="D57" s="62">
        <v>0.11899999999999999</v>
      </c>
      <c r="E57" s="43"/>
      <c r="F57" s="94"/>
      <c r="G57" s="45"/>
      <c r="H57" s="43"/>
      <c r="I57" s="43"/>
      <c r="J57" s="43"/>
      <c r="K57" s="44"/>
      <c r="L57" s="45"/>
      <c r="M57" s="43"/>
      <c r="O57" s="46"/>
      <c r="P57" s="45"/>
      <c r="Q57" s="43"/>
      <c r="R57" s="42"/>
      <c r="S57" s="106">
        <v>0.98039215686274506</v>
      </c>
      <c r="T57" s="105">
        <v>18</v>
      </c>
      <c r="U57" s="106"/>
      <c r="V57" s="7"/>
    </row>
    <row r="58" spans="1:26">
      <c r="A58" s="42">
        <v>1785</v>
      </c>
      <c r="B58" s="43">
        <v>2.84</v>
      </c>
      <c r="C58" s="46">
        <v>3.9821428571428563E-2</v>
      </c>
      <c r="D58" s="62">
        <v>0.11899999999999999</v>
      </c>
      <c r="E58" s="43"/>
      <c r="F58" s="94"/>
      <c r="G58" s="45"/>
      <c r="H58" s="43"/>
      <c r="I58" s="43"/>
      <c r="J58" s="43"/>
      <c r="K58" s="44"/>
      <c r="L58" s="45"/>
      <c r="M58" s="43"/>
      <c r="O58" s="46"/>
      <c r="P58" s="45"/>
      <c r="Q58" s="43"/>
      <c r="R58" s="42"/>
      <c r="S58" s="106">
        <v>0.98039215686274506</v>
      </c>
      <c r="T58" s="105">
        <v>18</v>
      </c>
      <c r="U58" s="106"/>
      <c r="V58" s="7"/>
    </row>
    <row r="59" spans="1:26">
      <c r="A59" s="42">
        <v>1786</v>
      </c>
      <c r="B59" s="43">
        <v>3.105</v>
      </c>
      <c r="C59" s="46">
        <v>1.5663003663003664E-2</v>
      </c>
      <c r="D59" s="62">
        <v>7.2000000000000008E-2</v>
      </c>
      <c r="E59" s="43">
        <v>0.4</v>
      </c>
      <c r="F59" s="94">
        <f t="shared" ref="F59:F76" si="0">2.110043*B59+12.19512*C59+12.19512*D59+E59*0.42735</f>
        <v>7.79168436423077</v>
      </c>
      <c r="G59" s="45">
        <f>F59*100/R59</f>
        <v>73.494198984510334</v>
      </c>
      <c r="H59" s="43">
        <v>3.6850000000000001</v>
      </c>
      <c r="I59" s="43">
        <v>4.2599999999999999E-2</v>
      </c>
      <c r="J59" s="43">
        <v>1.6</v>
      </c>
      <c r="K59" s="44">
        <f>H59*0.15873+I59*7.042254+J59*0.079365</f>
        <v>1.0119040704</v>
      </c>
      <c r="L59" s="45">
        <f>K59*100/R59</f>
        <v>9.5446729650162876</v>
      </c>
      <c r="M59" s="43">
        <f>F59+K59</f>
        <v>8.80358843463077</v>
      </c>
      <c r="N59" s="43">
        <v>1.2933333333333332</v>
      </c>
      <c r="O59" s="46">
        <f t="shared" ref="O59:O72" si="1">N59*0.257732</f>
        <v>0.33333338666666668</v>
      </c>
      <c r="P59" s="45">
        <f>N59*100/R59</f>
        <v>12.199223288568623</v>
      </c>
      <c r="Q59" s="43">
        <f>(F59+K59+N59)*0.05</f>
        <v>0.50484608839820522</v>
      </c>
      <c r="R59" s="43">
        <f>F59+K59+N59+Q59</f>
        <v>10.601767856362308</v>
      </c>
      <c r="S59" s="105">
        <v>0.98039215686274506</v>
      </c>
      <c r="T59" s="105">
        <v>18</v>
      </c>
      <c r="U59" s="105">
        <f>R59*S59*T59</f>
        <v>187.09002099462896</v>
      </c>
      <c r="V59" s="7"/>
      <c r="W59">
        <f>F59/167</f>
        <v>4.6656792600184252E-2</v>
      </c>
      <c r="X59">
        <f>W59+W59/3</f>
        <v>6.2209056800245667E-2</v>
      </c>
    </row>
    <row r="60" spans="1:26">
      <c r="A60" s="42">
        <v>1787</v>
      </c>
      <c r="B60" s="43">
        <v>5.1639999999999997</v>
      </c>
      <c r="C60" s="46">
        <v>1.41875E-2</v>
      </c>
      <c r="D60" s="62">
        <v>8.666666666666667E-2</v>
      </c>
      <c r="E60" s="43">
        <v>0.39990234375</v>
      </c>
      <c r="F60" s="94">
        <f t="shared" si="0"/>
        <v>12.297088983601562</v>
      </c>
      <c r="G60" s="45"/>
      <c r="H60" s="43">
        <v>4</v>
      </c>
      <c r="I60" s="65">
        <f>(I59+I61)/2</f>
        <v>3.3799999999999997E-2</v>
      </c>
      <c r="J60" s="65">
        <f>J59</f>
        <v>1.6</v>
      </c>
      <c r="K60" s="44">
        <f>H60*0.15873+I60*7.042254+J60*0.079365</f>
        <v>0.99993218520000005</v>
      </c>
      <c r="L60" s="45"/>
      <c r="M60" s="43"/>
      <c r="N60" s="43">
        <v>4.108888888888889</v>
      </c>
      <c r="O60" s="46">
        <f t="shared" si="1"/>
        <v>1.0589921511111111</v>
      </c>
      <c r="P60" s="45"/>
      <c r="Q60" s="43">
        <f>(F60+K60+N60)*0.05</f>
        <v>0.87029550288452262</v>
      </c>
      <c r="R60" s="43">
        <f>F60+K60+N60+Q60</f>
        <v>18.276205560574976</v>
      </c>
      <c r="S60" s="105">
        <v>0.970873786407767</v>
      </c>
      <c r="T60" s="105">
        <v>18</v>
      </c>
      <c r="U60" s="105">
        <f t="shared" ref="U60:U62" si="2">R60*S60*T60</f>
        <v>319.39000008771802</v>
      </c>
      <c r="V60" s="7"/>
    </row>
    <row r="61" spans="1:26">
      <c r="A61" s="42">
        <v>1788</v>
      </c>
      <c r="B61" s="43">
        <v>3.5</v>
      </c>
      <c r="C61" s="46">
        <v>2.375E-2</v>
      </c>
      <c r="D61" s="62">
        <v>8.4499999999999992E-2</v>
      </c>
      <c r="E61" s="43">
        <v>0.39990234375</v>
      </c>
      <c r="F61" s="94">
        <f t="shared" si="0"/>
        <v>8.8761705066015626</v>
      </c>
      <c r="G61" s="45"/>
      <c r="H61" s="65">
        <f>(H60+H62)/2</f>
        <v>4.375</v>
      </c>
      <c r="I61" s="43">
        <v>2.5000000000000001E-2</v>
      </c>
      <c r="J61" s="65">
        <f>J60</f>
        <v>1.6</v>
      </c>
      <c r="K61" s="44">
        <f>H61*0.15873+I61*7.042254+J61*0.079365</f>
        <v>0.99748409999999998</v>
      </c>
      <c r="L61" s="45"/>
      <c r="M61" s="43"/>
      <c r="N61" s="43">
        <v>2.1</v>
      </c>
      <c r="O61" s="46">
        <f t="shared" si="1"/>
        <v>0.54123720000000008</v>
      </c>
      <c r="P61" s="45"/>
      <c r="Q61" s="43">
        <f>(F61+K61+N61)*0.05</f>
        <v>0.59868273033007813</v>
      </c>
      <c r="R61" s="43">
        <f>F61+K61+N61+Q61</f>
        <v>12.572337336931639</v>
      </c>
      <c r="S61" s="105">
        <v>0.92592592592592582</v>
      </c>
      <c r="T61" s="105">
        <v>18</v>
      </c>
      <c r="U61" s="105">
        <f t="shared" si="2"/>
        <v>209.5389556155273</v>
      </c>
      <c r="V61" s="7"/>
    </row>
    <row r="62" spans="1:26">
      <c r="A62" s="42">
        <v>1789</v>
      </c>
      <c r="B62" s="43">
        <v>3.5</v>
      </c>
      <c r="C62" s="46">
        <v>2.6249999999999999E-2</v>
      </c>
      <c r="D62" s="62">
        <v>8.7499999999999994E-2</v>
      </c>
      <c r="E62" s="43">
        <v>0.39990234375</v>
      </c>
      <c r="F62" s="94">
        <f t="shared" si="0"/>
        <v>8.943243666601564</v>
      </c>
      <c r="G62" s="45"/>
      <c r="H62" s="43">
        <v>4.75</v>
      </c>
      <c r="I62" s="43">
        <v>0.08</v>
      </c>
      <c r="J62" s="65">
        <f>J61</f>
        <v>1.6</v>
      </c>
      <c r="K62" s="44"/>
      <c r="L62" s="45"/>
      <c r="M62" s="43"/>
      <c r="N62" s="43">
        <v>1.5333333333333332</v>
      </c>
      <c r="O62" s="46">
        <f t="shared" si="1"/>
        <v>0.39518906666666664</v>
      </c>
      <c r="P62" s="45"/>
      <c r="Q62" s="43">
        <f>(F62+K62+N62)*0.05</f>
        <v>0.52382884999674484</v>
      </c>
      <c r="R62" s="43">
        <f>F62+K62+N62+Q62</f>
        <v>11.000405849931642</v>
      </c>
      <c r="S62" s="105">
        <v>0.9174311926605504</v>
      </c>
      <c r="T62" s="105">
        <v>18</v>
      </c>
      <c r="U62" s="105">
        <f t="shared" si="2"/>
        <v>181.65807825575189</v>
      </c>
      <c r="V62" s="7"/>
    </row>
    <row r="63" spans="1:26">
      <c r="A63" s="42">
        <v>1790</v>
      </c>
      <c r="B63" s="43">
        <v>3.25</v>
      </c>
      <c r="C63" s="46">
        <v>4.8125000000000001E-2</v>
      </c>
      <c r="D63" s="62">
        <v>0.10793749999999999</v>
      </c>
      <c r="E63" s="43">
        <v>0.39990234375</v>
      </c>
      <c r="F63" s="94">
        <f t="shared" si="0"/>
        <v>8.9317389316015632</v>
      </c>
      <c r="G63" s="45"/>
      <c r="H63" s="43">
        <v>4.7</v>
      </c>
      <c r="I63" s="43"/>
      <c r="J63" s="43"/>
      <c r="K63" s="44"/>
      <c r="L63" s="45"/>
      <c r="M63" s="43"/>
      <c r="N63" s="43">
        <v>1</v>
      </c>
      <c r="O63" s="46">
        <f t="shared" si="1"/>
        <v>0.25773200000000002</v>
      </c>
      <c r="P63" s="45"/>
      <c r="Q63" s="43"/>
      <c r="R63" s="42"/>
      <c r="S63" s="106">
        <v>0.86956521739130443</v>
      </c>
      <c r="T63" s="105">
        <v>18</v>
      </c>
      <c r="U63" s="106"/>
      <c r="V63" s="7"/>
      <c r="Z63" t="s">
        <v>292</v>
      </c>
    </row>
    <row r="64" spans="1:26">
      <c r="A64" s="42">
        <v>1791</v>
      </c>
      <c r="B64" s="43">
        <v>2.6599999999999997</v>
      </c>
      <c r="C64" s="46">
        <v>4.8125000000000001E-2</v>
      </c>
      <c r="D64" s="62">
        <v>0.11437499999999999</v>
      </c>
      <c r="E64" s="43">
        <v>0.39990234375</v>
      </c>
      <c r="F64" s="94">
        <f t="shared" si="0"/>
        <v>7.7653196466015624</v>
      </c>
      <c r="G64" s="45"/>
      <c r="H64" s="43">
        <v>4.8499999999999996</v>
      </c>
      <c r="I64" s="43"/>
      <c r="J64" s="43"/>
      <c r="K64" s="44"/>
      <c r="L64" s="45"/>
      <c r="M64" s="43"/>
      <c r="N64" s="43">
        <v>1.1000000000000001</v>
      </c>
      <c r="O64" s="46">
        <f t="shared" si="1"/>
        <v>0.28350520000000007</v>
      </c>
      <c r="P64" s="45"/>
      <c r="Q64" s="43"/>
      <c r="R64" s="42"/>
      <c r="S64" s="106">
        <v>0.81300813008130079</v>
      </c>
      <c r="T64" s="105">
        <v>18</v>
      </c>
      <c r="U64" s="106"/>
      <c r="V64" s="7"/>
      <c r="W64">
        <f>F64/167</f>
        <v>4.6498920039530316E-2</v>
      </c>
      <c r="X64">
        <f>W64+W64/3</f>
        <v>6.199856005270709E-2</v>
      </c>
    </row>
    <row r="65" spans="1:24">
      <c r="A65" s="42">
        <v>1792</v>
      </c>
      <c r="B65" s="43">
        <v>3.3</v>
      </c>
      <c r="C65" s="46">
        <v>4.8125000000000001E-2</v>
      </c>
      <c r="D65" s="62">
        <v>0.11750000000000001</v>
      </c>
      <c r="E65" s="43">
        <v>0.39990234375</v>
      </c>
      <c r="F65" s="94">
        <f t="shared" si="0"/>
        <v>9.1538569166015638</v>
      </c>
      <c r="G65" s="45"/>
      <c r="H65" s="43">
        <v>5.3</v>
      </c>
      <c r="I65" s="43">
        <v>0.06</v>
      </c>
      <c r="J65" s="65">
        <v>3.64</v>
      </c>
      <c r="K65" s="44"/>
      <c r="L65" s="45"/>
      <c r="M65" s="43"/>
      <c r="N65" s="43">
        <v>1</v>
      </c>
      <c r="O65" s="46">
        <f t="shared" si="1"/>
        <v>0.25773200000000002</v>
      </c>
      <c r="P65" s="45"/>
      <c r="Q65" s="43">
        <f t="shared" ref="Q65" si="3">(F65+K65+O65)*0.05</f>
        <v>0.47057944583007827</v>
      </c>
      <c r="R65" s="43">
        <f t="shared" ref="R65" si="4">F65+K65+O65+Q65</f>
        <v>9.8821683624316421</v>
      </c>
      <c r="S65" s="105">
        <v>0.79365079365079361</v>
      </c>
      <c r="T65" s="105">
        <v>18</v>
      </c>
      <c r="U65" s="105">
        <f t="shared" ref="U65:U75" si="5">R65*S65*T65</f>
        <v>141.17383374902346</v>
      </c>
      <c r="V65" s="7"/>
    </row>
    <row r="66" spans="1:24">
      <c r="A66" s="42">
        <v>1793</v>
      </c>
      <c r="B66" s="60">
        <v>4.2350000000000003</v>
      </c>
      <c r="C66" s="46">
        <v>5.7812500000000003E-2</v>
      </c>
      <c r="D66" s="62">
        <v>0.12962499999999999</v>
      </c>
      <c r="E66" s="43">
        <v>0.4</v>
      </c>
      <c r="F66" s="94">
        <f t="shared" si="0"/>
        <v>11.392794910000001</v>
      </c>
      <c r="G66" s="45">
        <f t="shared" ref="G66:G74" si="6">F66*100/R66</f>
        <v>79.114370440426967</v>
      </c>
      <c r="H66" s="43">
        <v>5.0148148148148142</v>
      </c>
      <c r="I66" s="65">
        <v>0.05</v>
      </c>
      <c r="J66" s="43">
        <v>3.64</v>
      </c>
      <c r="K66" s="44">
        <f t="shared" ref="K66:K75" si="7">H66*0.15873+I66*7.042254+J66*0.079365</f>
        <v>1.4370028555555554</v>
      </c>
      <c r="L66" s="45">
        <f t="shared" ref="L66:L74" si="8">K66*100/R66</f>
        <v>9.9789013263623811</v>
      </c>
      <c r="M66" s="43">
        <f t="shared" ref="M66:M74" si="9">F66+K66</f>
        <v>12.829797765555556</v>
      </c>
      <c r="N66" s="43">
        <v>3.4333333333333336</v>
      </c>
      <c r="O66" s="46">
        <f t="shared" si="1"/>
        <v>0.88487986666666674</v>
      </c>
      <c r="P66" s="45">
        <f t="shared" ref="P66:P74" si="10">O66*100/R66</f>
        <v>6.1448234713058918</v>
      </c>
      <c r="Q66" s="43">
        <f t="shared" ref="Q66:Q74" si="11">(F66+K66+O66)*0.05</f>
        <v>0.68573388161111115</v>
      </c>
      <c r="R66" s="43">
        <f t="shared" ref="R66:R74" si="12">F66+K66+O66+Q66</f>
        <v>14.400411513833333</v>
      </c>
      <c r="S66" s="105">
        <v>0.7407407407407407</v>
      </c>
      <c r="T66" s="105">
        <v>18</v>
      </c>
      <c r="U66" s="105">
        <f t="shared" si="5"/>
        <v>192.0054868511111</v>
      </c>
      <c r="V66" s="7"/>
      <c r="W66">
        <f>F66/167</f>
        <v>6.8220328802395216E-2</v>
      </c>
      <c r="X66">
        <f>W66+W66/3</f>
        <v>9.0960438403193622E-2</v>
      </c>
    </row>
    <row r="67" spans="1:24">
      <c r="A67" s="42">
        <v>1794</v>
      </c>
      <c r="B67" s="60">
        <v>4</v>
      </c>
      <c r="C67" s="46">
        <v>4.2163461538461539E-2</v>
      </c>
      <c r="D67" s="62">
        <v>0.14879999999999999</v>
      </c>
      <c r="E67" s="43">
        <v>0.4</v>
      </c>
      <c r="F67" s="94">
        <f t="shared" si="0"/>
        <v>10.939934329076923</v>
      </c>
      <c r="G67" s="45">
        <f t="shared" si="6"/>
        <v>83.157127232017032</v>
      </c>
      <c r="H67" s="43">
        <v>4.46875</v>
      </c>
      <c r="I67" s="43">
        <v>0.04</v>
      </c>
      <c r="J67" s="43">
        <v>3.6419999999999999</v>
      </c>
      <c r="K67" s="44">
        <f t="shared" si="7"/>
        <v>1.2800621775000001</v>
      </c>
      <c r="L67" s="45">
        <f t="shared" si="8"/>
        <v>9.7300669416579471</v>
      </c>
      <c r="M67" s="43">
        <f t="shared" si="9"/>
        <v>12.219996506576923</v>
      </c>
      <c r="N67" s="43">
        <v>1.2</v>
      </c>
      <c r="O67" s="46">
        <f t="shared" si="1"/>
        <v>0.30927840000000001</v>
      </c>
      <c r="P67" s="45">
        <f t="shared" si="10"/>
        <v>2.3509010644202575</v>
      </c>
      <c r="Q67" s="43">
        <f t="shared" si="11"/>
        <v>0.62646374532884619</v>
      </c>
      <c r="R67" s="43">
        <f t="shared" si="12"/>
        <v>13.15573865190577</v>
      </c>
      <c r="S67" s="105">
        <v>0.70921985815602839</v>
      </c>
      <c r="T67" s="105">
        <v>18</v>
      </c>
      <c r="U67" s="105">
        <f t="shared" si="5"/>
        <v>167.94559981156303</v>
      </c>
      <c r="V67" s="7"/>
      <c r="W67">
        <f t="shared" ref="W67:W73" si="13">F67/167</f>
        <v>6.55085887968678E-2</v>
      </c>
      <c r="X67">
        <f t="shared" ref="X67:X73" si="14">W67+W67/3</f>
        <v>8.7344785062490396E-2</v>
      </c>
    </row>
    <row r="68" spans="1:24">
      <c r="A68" s="42">
        <v>1795</v>
      </c>
      <c r="B68" s="60">
        <v>4.3600000000000003</v>
      </c>
      <c r="C68" s="46">
        <v>4.2098214285714287E-2</v>
      </c>
      <c r="D68" s="62">
        <v>0.16285714285714287</v>
      </c>
      <c r="E68" s="43">
        <v>0.4</v>
      </c>
      <c r="F68" s="94">
        <f t="shared" si="0"/>
        <v>11.870182655000001</v>
      </c>
      <c r="G68" s="45">
        <f t="shared" si="6"/>
        <v>74.560576189995047</v>
      </c>
      <c r="H68" s="43">
        <v>9.6699999999999982</v>
      </c>
      <c r="I68" s="43">
        <v>0.04</v>
      </c>
      <c r="J68" s="43">
        <v>4.3</v>
      </c>
      <c r="K68" s="44">
        <f t="shared" si="7"/>
        <v>2.15787876</v>
      </c>
      <c r="L68" s="45">
        <f t="shared" si="8"/>
        <v>13.554356185579017</v>
      </c>
      <c r="M68" s="43">
        <f t="shared" si="9"/>
        <v>14.028061415</v>
      </c>
      <c r="N68" s="43">
        <v>4.3999999999999995</v>
      </c>
      <c r="O68" s="46">
        <f t="shared" si="1"/>
        <v>1.1340207999999998</v>
      </c>
      <c r="P68" s="45">
        <f t="shared" si="10"/>
        <v>7.123162862521184</v>
      </c>
      <c r="Q68" s="43">
        <f t="shared" si="11"/>
        <v>0.75810411075000006</v>
      </c>
      <c r="R68" s="43">
        <f t="shared" si="12"/>
        <v>15.92018632575</v>
      </c>
      <c r="S68" s="105">
        <v>0.68493150684931503</v>
      </c>
      <c r="T68" s="105">
        <v>18</v>
      </c>
      <c r="U68" s="105">
        <f t="shared" si="5"/>
        <v>196.27626976952052</v>
      </c>
      <c r="V68" s="7"/>
      <c r="W68">
        <f t="shared" si="13"/>
        <v>7.1078938053892218E-2</v>
      </c>
      <c r="X68">
        <f t="shared" si="14"/>
        <v>9.4771917405189629E-2</v>
      </c>
    </row>
    <row r="69" spans="1:24">
      <c r="A69" s="42">
        <v>1796</v>
      </c>
      <c r="B69" s="60">
        <v>5.5228571428571422</v>
      </c>
      <c r="C69" s="46">
        <v>4.4492187499999995E-2</v>
      </c>
      <c r="D69" s="62">
        <v>0.16921875</v>
      </c>
      <c r="E69" s="43">
        <v>0.4</v>
      </c>
      <c r="F69" s="94">
        <f t="shared" si="0"/>
        <v>14.430636582410713</v>
      </c>
      <c r="G69" s="45">
        <f t="shared" si="6"/>
        <v>81.682009645868376</v>
      </c>
      <c r="H69" s="43">
        <v>5.6583333333333341</v>
      </c>
      <c r="I69" s="43">
        <v>7.4999999999999997E-2</v>
      </c>
      <c r="J69" s="43">
        <v>4.84375</v>
      </c>
      <c r="K69" s="44">
        <f t="shared" si="7"/>
        <v>1.8107405187500001</v>
      </c>
      <c r="L69" s="45">
        <f t="shared" si="8"/>
        <v>10.249369365935063</v>
      </c>
      <c r="M69" s="43">
        <f t="shared" si="9"/>
        <v>16.241377101160712</v>
      </c>
      <c r="N69" s="43">
        <v>2.2666666666666666</v>
      </c>
      <c r="O69" s="46">
        <f t="shared" si="1"/>
        <v>0.58419253333333332</v>
      </c>
      <c r="P69" s="45">
        <f t="shared" si="10"/>
        <v>3.3067162262918042</v>
      </c>
      <c r="Q69" s="43">
        <f t="shared" si="11"/>
        <v>0.84127848172470232</v>
      </c>
      <c r="R69" s="43">
        <f t="shared" si="12"/>
        <v>17.666848116218748</v>
      </c>
      <c r="S69" s="105">
        <v>0.70422535211267612</v>
      </c>
      <c r="T69" s="105">
        <v>18</v>
      </c>
      <c r="U69" s="105">
        <f t="shared" si="5"/>
        <v>223.94596203657568</v>
      </c>
      <c r="V69" s="7"/>
      <c r="W69">
        <f t="shared" si="13"/>
        <v>8.6410997499465347E-2</v>
      </c>
      <c r="X69">
        <f t="shared" si="14"/>
        <v>0.11521466333262047</v>
      </c>
    </row>
    <row r="70" spans="1:24">
      <c r="A70" s="42">
        <v>1797</v>
      </c>
      <c r="B70" s="60">
        <v>4.71</v>
      </c>
      <c r="C70" s="46">
        <v>4.2291666666666665E-2</v>
      </c>
      <c r="D70" s="62">
        <v>0.13950000000000001</v>
      </c>
      <c r="E70" s="43">
        <v>0.4</v>
      </c>
      <c r="F70" s="94">
        <f t="shared" si="0"/>
        <v>12.32621372</v>
      </c>
      <c r="G70" s="45">
        <f t="shared" si="6"/>
        <v>81.025855934309106</v>
      </c>
      <c r="H70" s="43">
        <v>4.8</v>
      </c>
      <c r="I70" s="43">
        <v>0.1</v>
      </c>
      <c r="J70" s="65">
        <f>(J69+J72)/2</f>
        <v>4.8718749999999993</v>
      </c>
      <c r="K70" s="44">
        <f t="shared" si="7"/>
        <v>1.8527857593750001</v>
      </c>
      <c r="L70" s="45">
        <f t="shared" si="8"/>
        <v>12.179210536701472</v>
      </c>
      <c r="M70" s="43">
        <f t="shared" si="9"/>
        <v>14.178999479375001</v>
      </c>
      <c r="N70" s="43">
        <v>1.2</v>
      </c>
      <c r="O70" s="46">
        <f t="shared" si="1"/>
        <v>0.30927840000000001</v>
      </c>
      <c r="P70" s="45">
        <f t="shared" si="10"/>
        <v>2.0330287670846601</v>
      </c>
      <c r="Q70" s="43">
        <f t="shared" si="11"/>
        <v>0.72441389396875011</v>
      </c>
      <c r="R70" s="43">
        <f t="shared" si="12"/>
        <v>15.212691773343751</v>
      </c>
      <c r="S70" s="105">
        <v>0.79365079365079361</v>
      </c>
      <c r="T70" s="105">
        <v>18</v>
      </c>
      <c r="U70" s="105">
        <f t="shared" si="5"/>
        <v>217.32416819062502</v>
      </c>
      <c r="V70" s="7"/>
      <c r="W70">
        <f t="shared" si="13"/>
        <v>7.3809662994011982E-2</v>
      </c>
      <c r="X70">
        <f t="shared" si="14"/>
        <v>9.8412883992015976E-2</v>
      </c>
    </row>
    <row r="71" spans="1:24">
      <c r="A71" s="42">
        <v>1798</v>
      </c>
      <c r="B71" s="60">
        <v>4.0457142857142872</v>
      </c>
      <c r="C71" s="46">
        <v>6.1874999999999999E-2</v>
      </c>
      <c r="D71" s="62">
        <v>0.141875</v>
      </c>
      <c r="E71" s="43">
        <v>0.4</v>
      </c>
      <c r="F71" s="94">
        <f t="shared" si="0"/>
        <v>11.192326808571432</v>
      </c>
      <c r="G71" s="45">
        <f t="shared" si="6"/>
        <v>80.886390738040774</v>
      </c>
      <c r="H71" s="43">
        <v>4.8</v>
      </c>
      <c r="I71" s="43">
        <v>7.4999999999999997E-2</v>
      </c>
      <c r="J71" s="65">
        <v>4.87</v>
      </c>
      <c r="K71" s="44">
        <f t="shared" si="7"/>
        <v>1.6765805999999999</v>
      </c>
      <c r="L71" s="45">
        <f t="shared" si="8"/>
        <v>12.116564842581482</v>
      </c>
      <c r="M71" s="43">
        <f t="shared" si="9"/>
        <v>12.868907408571431</v>
      </c>
      <c r="N71" s="43">
        <v>1.2</v>
      </c>
      <c r="O71" s="46">
        <f t="shared" si="1"/>
        <v>0.30927840000000001</v>
      </c>
      <c r="P71" s="45">
        <f t="shared" si="10"/>
        <v>2.235139657472986</v>
      </c>
      <c r="Q71" s="43">
        <f t="shared" si="11"/>
        <v>0.6589092904285716</v>
      </c>
      <c r="R71" s="43">
        <f t="shared" si="12"/>
        <v>13.837095099000003</v>
      </c>
      <c r="S71" s="105">
        <v>0.72992700729927007</v>
      </c>
      <c r="T71" s="105">
        <v>18</v>
      </c>
      <c r="U71" s="105">
        <f t="shared" si="5"/>
        <v>181.80124947591247</v>
      </c>
      <c r="V71" s="7"/>
      <c r="W71">
        <f t="shared" si="13"/>
        <v>6.7019921009409775E-2</v>
      </c>
      <c r="X71">
        <f t="shared" si="14"/>
        <v>8.9359894679213028E-2</v>
      </c>
    </row>
    <row r="72" spans="1:24">
      <c r="A72" s="42">
        <v>1799</v>
      </c>
      <c r="B72" s="60">
        <v>3.99125</v>
      </c>
      <c r="C72" s="46">
        <v>4.9750000000000003E-2</v>
      </c>
      <c r="D72" s="62">
        <v>0.13750000000000001</v>
      </c>
      <c r="E72" s="43">
        <v>0.44</v>
      </c>
      <c r="F72" s="94">
        <f t="shared" si="0"/>
        <v>10.893279343750001</v>
      </c>
      <c r="G72" s="45">
        <f t="shared" si="6"/>
        <v>77.075262395262797</v>
      </c>
      <c r="H72" s="43">
        <v>6</v>
      </c>
      <c r="I72" s="65">
        <f>(0.08+0.09)/2</f>
        <v>8.4999999999999992E-2</v>
      </c>
      <c r="J72" s="43">
        <v>4.8999999999999995</v>
      </c>
      <c r="K72" s="44">
        <f t="shared" si="7"/>
        <v>1.93986009</v>
      </c>
      <c r="L72" s="45">
        <f t="shared" si="8"/>
        <v>13.725455919078417</v>
      </c>
      <c r="M72" s="43">
        <f t="shared" si="9"/>
        <v>12.83313943375</v>
      </c>
      <c r="N72" s="43">
        <v>2.4333333333333336</v>
      </c>
      <c r="O72" s="46">
        <f t="shared" si="1"/>
        <v>0.62714786666666678</v>
      </c>
      <c r="P72" s="45">
        <f t="shared" si="10"/>
        <v>4.4373769237540239</v>
      </c>
      <c r="Q72" s="43">
        <f t="shared" si="11"/>
        <v>0.67301436502083334</v>
      </c>
      <c r="R72" s="43">
        <f t="shared" si="12"/>
        <v>14.1333016654375</v>
      </c>
      <c r="S72" s="105">
        <v>0.66225165562913912</v>
      </c>
      <c r="T72" s="105">
        <v>18</v>
      </c>
      <c r="U72" s="105">
        <f t="shared" si="5"/>
        <v>168.47644369395695</v>
      </c>
      <c r="V72" s="47">
        <f>AVERAGE(R66:R72)</f>
        <v>14.903753306498443</v>
      </c>
      <c r="W72">
        <f t="shared" si="13"/>
        <v>6.5229217627245512E-2</v>
      </c>
      <c r="X72">
        <f t="shared" si="14"/>
        <v>8.6972290169660682E-2</v>
      </c>
    </row>
    <row r="73" spans="1:24">
      <c r="A73" s="42">
        <v>1800</v>
      </c>
      <c r="B73" s="60">
        <v>4.5419999999999998</v>
      </c>
      <c r="C73" s="46">
        <v>5.2750000000000005E-2</v>
      </c>
      <c r="D73" s="62">
        <v>0.18833333333333332</v>
      </c>
      <c r="E73" s="43">
        <v>0.4</v>
      </c>
      <c r="F73" s="94">
        <f t="shared" si="0"/>
        <v>12.694795486</v>
      </c>
      <c r="G73" s="45">
        <f t="shared" si="6"/>
        <v>73.127031875824656</v>
      </c>
      <c r="H73" s="43">
        <v>5.74</v>
      </c>
      <c r="I73" s="65">
        <f>(0.08+0.09)/2</f>
        <v>8.4999999999999992E-2</v>
      </c>
      <c r="J73" s="43">
        <v>5.0999999999999996</v>
      </c>
      <c r="K73" s="44">
        <f t="shared" si="7"/>
        <v>1.91446329</v>
      </c>
      <c r="L73" s="45">
        <f t="shared" si="8"/>
        <v>11.028064074550789</v>
      </c>
      <c r="M73" s="43">
        <f t="shared" si="9"/>
        <v>14.609258776000001</v>
      </c>
      <c r="N73" s="43">
        <v>6.086950904392765</v>
      </c>
      <c r="O73" s="46">
        <v>1.9240000000000002</v>
      </c>
      <c r="P73" s="45">
        <f t="shared" si="10"/>
        <v>11.082999287719808</v>
      </c>
      <c r="Q73" s="43">
        <f t="shared" si="11"/>
        <v>0.82666293880000008</v>
      </c>
      <c r="R73" s="43">
        <f t="shared" si="12"/>
        <v>17.359921714799999</v>
      </c>
      <c r="S73" s="105">
        <v>0.65359477124183007</v>
      </c>
      <c r="T73" s="105">
        <v>18</v>
      </c>
      <c r="U73" s="105">
        <f t="shared" si="5"/>
        <v>204.23437311529409</v>
      </c>
      <c r="V73" s="7"/>
      <c r="W73">
        <f t="shared" si="13"/>
        <v>7.6016739437125752E-2</v>
      </c>
      <c r="X73">
        <f t="shared" si="14"/>
        <v>0.10135565258283434</v>
      </c>
    </row>
    <row r="74" spans="1:24">
      <c r="A74" s="42">
        <v>1801</v>
      </c>
      <c r="B74" s="60">
        <v>5.1766666666666667</v>
      </c>
      <c r="C74" s="46">
        <v>0.04</v>
      </c>
      <c r="D74" s="62">
        <v>0.16999999999999998</v>
      </c>
      <c r="E74" s="43">
        <v>0.39990234375</v>
      </c>
      <c r="F74" s="94">
        <f t="shared" si="0"/>
        <v>13.654862729934896</v>
      </c>
      <c r="G74" s="45">
        <f t="shared" si="6"/>
        <v>75.415711382951898</v>
      </c>
      <c r="H74" s="43">
        <v>5.4600000000000009</v>
      </c>
      <c r="I74" s="65">
        <f>(0.08+0.09)/2</f>
        <v>8.4999999999999992E-2</v>
      </c>
      <c r="J74" s="43">
        <v>4.9980000000000002</v>
      </c>
      <c r="K74" s="44">
        <f t="shared" si="7"/>
        <v>1.8619236600000002</v>
      </c>
      <c r="L74" s="45">
        <f t="shared" si="8"/>
        <v>10.283391355653633</v>
      </c>
      <c r="M74" s="43">
        <f t="shared" si="9"/>
        <v>15.516786389934897</v>
      </c>
      <c r="N74" s="65">
        <f>(6.09+5.94)/2</f>
        <v>6.0150000000000006</v>
      </c>
      <c r="O74" s="46">
        <f>(O73+O75)/2</f>
        <v>1.727141875</v>
      </c>
      <c r="P74" s="45">
        <f t="shared" si="10"/>
        <v>9.538992499489698</v>
      </c>
      <c r="Q74" s="43">
        <f t="shared" si="11"/>
        <v>0.8621964132467449</v>
      </c>
      <c r="R74" s="43">
        <f t="shared" si="12"/>
        <v>18.106124678181644</v>
      </c>
      <c r="S74" s="105">
        <v>0.66225165562913912</v>
      </c>
      <c r="T74" s="105">
        <v>18</v>
      </c>
      <c r="U74" s="105">
        <f t="shared" si="5"/>
        <v>215.83459881276133</v>
      </c>
      <c r="V74" s="7"/>
    </row>
    <row r="75" spans="1:24">
      <c r="A75" s="42">
        <v>1802</v>
      </c>
      <c r="B75" s="60">
        <v>4.2</v>
      </c>
      <c r="C75" s="46">
        <v>3.7499999999999999E-2</v>
      </c>
      <c r="D75" s="62">
        <v>0.13125000000000001</v>
      </c>
      <c r="E75" s="43">
        <v>0.40600000000000003</v>
      </c>
      <c r="F75" s="94">
        <f t="shared" si="0"/>
        <v>11.0936112</v>
      </c>
      <c r="G75" s="45">
        <f>F75*100/R75</f>
        <v>72.442694699152725</v>
      </c>
      <c r="H75" s="43">
        <v>6.0500000000000016</v>
      </c>
      <c r="I75" s="43">
        <v>0.09</v>
      </c>
      <c r="J75" s="43">
        <v>4.6166666666666663</v>
      </c>
      <c r="K75" s="44">
        <f t="shared" si="7"/>
        <v>1.9605211100000002</v>
      </c>
      <c r="L75" s="45">
        <f>K75*100/R75</f>
        <v>12.80245266058847</v>
      </c>
      <c r="M75" s="43">
        <f>F75+K75</f>
        <v>13.05413231</v>
      </c>
      <c r="N75" s="43">
        <v>5.9375</v>
      </c>
      <c r="O75" s="46">
        <f>N75*0.257732</f>
        <v>1.5302837500000002</v>
      </c>
      <c r="P75" s="45">
        <f>O75*100/R75</f>
        <v>9.9929478783540358</v>
      </c>
      <c r="Q75" s="43">
        <f>(F75+K75+O75)*0.05</f>
        <v>0.72922080300000003</v>
      </c>
      <c r="R75" s="43">
        <f>F75+K75+O75+Q75</f>
        <v>15.313636863000001</v>
      </c>
      <c r="S75" s="105">
        <v>0.7246376811594204</v>
      </c>
      <c r="T75" s="105">
        <v>18</v>
      </c>
      <c r="U75" s="105">
        <f t="shared" si="5"/>
        <v>199.74308951739135</v>
      </c>
      <c r="V75" s="7"/>
    </row>
    <row r="76" spans="1:24">
      <c r="A76" s="42">
        <v>1803</v>
      </c>
      <c r="B76" s="43">
        <v>5.95</v>
      </c>
      <c r="C76" s="46">
        <v>0.04</v>
      </c>
      <c r="D76" s="62">
        <v>0.16</v>
      </c>
      <c r="E76" s="43">
        <v>0.4</v>
      </c>
      <c r="F76" s="94">
        <f t="shared" si="0"/>
        <v>15.164719850000001</v>
      </c>
      <c r="G76" s="45"/>
      <c r="H76" s="43">
        <v>6.64</v>
      </c>
      <c r="I76" s="43"/>
      <c r="J76" s="43"/>
      <c r="K76" s="44"/>
      <c r="L76" s="45"/>
      <c r="M76" s="43"/>
      <c r="N76" s="43">
        <v>1.2</v>
      </c>
      <c r="O76" s="46">
        <f>N76*0.257732</f>
        <v>0.30927840000000001</v>
      </c>
      <c r="P76" s="45"/>
      <c r="Q76" s="43"/>
      <c r="R76" s="42"/>
      <c r="S76" s="106">
        <v>0.8</v>
      </c>
      <c r="T76" s="105">
        <v>18</v>
      </c>
      <c r="U76" s="106"/>
      <c r="V76" s="7"/>
    </row>
    <row r="77" spans="1:24">
      <c r="A77" s="42">
        <v>1804</v>
      </c>
      <c r="B77" s="60">
        <v>4</v>
      </c>
      <c r="C77" s="46"/>
      <c r="E77" s="43"/>
      <c r="F77" s="94"/>
      <c r="G77" s="45"/>
      <c r="H77" s="43"/>
      <c r="I77" s="43"/>
      <c r="J77" s="43"/>
      <c r="K77" s="44"/>
      <c r="L77" s="45"/>
      <c r="M77" s="43"/>
      <c r="O77" s="46"/>
      <c r="P77" s="45"/>
      <c r="Q77" s="43"/>
      <c r="R77" s="42"/>
      <c r="S77" s="106">
        <v>0.79365079365079361</v>
      </c>
      <c r="T77" s="105">
        <v>18</v>
      </c>
      <c r="U77" s="106"/>
      <c r="V77" s="7"/>
    </row>
    <row r="78" spans="1:24">
      <c r="A78" s="42">
        <v>1805</v>
      </c>
      <c r="B78" s="60">
        <v>3.4949999999999997</v>
      </c>
      <c r="C78" s="46">
        <v>4.2000000000000003E-2</v>
      </c>
      <c r="D78" s="62">
        <v>0.13249999999999998</v>
      </c>
      <c r="E78" s="43">
        <v>0.4</v>
      </c>
      <c r="F78" s="94">
        <f t="shared" ref="F78:F83" si="15">2.110043*B78+12.19512*C78+12.19512*D78+E78*0.42735</f>
        <v>9.6735887249999983</v>
      </c>
      <c r="G78" s="45">
        <f>F78*100/R78</f>
        <v>64.202441364508516</v>
      </c>
      <c r="H78" s="43">
        <v>6.2</v>
      </c>
      <c r="I78" s="43">
        <v>0.1</v>
      </c>
      <c r="J78" s="43">
        <v>6.4</v>
      </c>
      <c r="K78" s="44">
        <f>H78*0.15873+I78*7.042254+J78*0.079365</f>
        <v>2.1962874000000001</v>
      </c>
      <c r="L78" s="45">
        <f>K78*100/R78</f>
        <v>14.576494517871794</v>
      </c>
      <c r="M78" s="43">
        <f>F78+K78</f>
        <v>11.869876124999998</v>
      </c>
      <c r="N78" s="43">
        <v>9.6222222222222236</v>
      </c>
      <c r="O78" s="46">
        <f t="shared" ref="O78:O88" si="16">N78*0.257732</f>
        <v>2.4799545777777783</v>
      </c>
      <c r="P78" s="45">
        <f>O78*100/R78</f>
        <v>16.459159355714938</v>
      </c>
      <c r="Q78" s="43">
        <f>(F78+K78+O78)*0.05</f>
        <v>0.71749153513888886</v>
      </c>
      <c r="R78" s="43">
        <f>F78+K78+O78+Q78</f>
        <v>15.067322237916665</v>
      </c>
      <c r="S78" s="105">
        <v>0.76923076923076916</v>
      </c>
      <c r="T78" s="105">
        <v>18</v>
      </c>
      <c r="U78" s="105">
        <f t="shared" ref="U78:U80" si="17">R78*S78*T78</f>
        <v>208.6244617557692</v>
      </c>
      <c r="V78" s="7"/>
    </row>
    <row r="79" spans="1:24">
      <c r="A79" s="2">
        <v>1806</v>
      </c>
      <c r="B79" s="64">
        <f>(B78+B81)/2</f>
        <v>4.7474999999999996</v>
      </c>
      <c r="C79" s="36">
        <v>2.3E-2</v>
      </c>
      <c r="D79" s="62">
        <v>0.22500000000000001</v>
      </c>
      <c r="E79" s="43">
        <v>0.4</v>
      </c>
      <c r="F79" s="94">
        <f t="shared" si="15"/>
        <v>13.212758902499999</v>
      </c>
      <c r="H79" s="64">
        <f>(H78+H80)/2</f>
        <v>6.1</v>
      </c>
      <c r="I79" s="2">
        <v>0.14000000000000001</v>
      </c>
      <c r="J79" s="64">
        <f>(J78+J80)/2</f>
        <v>5.0500000000000007</v>
      </c>
      <c r="K79" s="44">
        <f>H79*0.15873+I79*7.042254+J79*0.079365</f>
        <v>2.3549618100000003</v>
      </c>
      <c r="N79" s="43">
        <v>3.6749999999999998</v>
      </c>
      <c r="O79" s="46">
        <f t="shared" si="16"/>
        <v>0.94716509999999998</v>
      </c>
      <c r="Q79" s="43">
        <f>(F79+K79+O79)*0.05</f>
        <v>0.8257442906250001</v>
      </c>
      <c r="R79" s="43">
        <f>F79+K79+O79+Q79</f>
        <v>17.340630103125001</v>
      </c>
      <c r="S79" s="105">
        <v>0.74626865671641784</v>
      </c>
      <c r="T79" s="105">
        <v>18</v>
      </c>
      <c r="U79" s="105">
        <f t="shared" si="17"/>
        <v>232.93383720615671</v>
      </c>
    </row>
    <row r="80" spans="1:24">
      <c r="A80" s="2">
        <v>1807</v>
      </c>
      <c r="B80" s="64">
        <f>(B79+B81)/2</f>
        <v>5.3737499999999994</v>
      </c>
      <c r="C80" s="64">
        <f>(C79+C81)/2</f>
        <v>3.9E-2</v>
      </c>
      <c r="D80" s="64">
        <f>(D79+D81)/2</f>
        <v>0.15625</v>
      </c>
      <c r="E80" s="64">
        <f>(E79+E81)/2</f>
        <v>0.4</v>
      </c>
      <c r="F80" s="94">
        <f t="shared" si="15"/>
        <v>13.890880751249998</v>
      </c>
      <c r="H80" s="2">
        <f>0.15*40</f>
        <v>6</v>
      </c>
      <c r="I80" s="2">
        <v>0.14000000000000001</v>
      </c>
      <c r="J80" s="96">
        <f>(J78+J82)/2</f>
        <v>3.7</v>
      </c>
      <c r="K80" s="44">
        <f>H80*0.15873+I80*7.042254+J80*0.079365</f>
        <v>2.2319460600000003</v>
      </c>
      <c r="O80" s="64">
        <f>(O79+O81)/2</f>
        <v>1.1920105000000001</v>
      </c>
      <c r="P80" s="45"/>
      <c r="Q80" s="43">
        <f>(F80+K80+O80)*0.05</f>
        <v>0.86574186556249999</v>
      </c>
      <c r="R80" s="43">
        <f>F80+K80+O80+Q80</f>
        <v>18.1805791768125</v>
      </c>
      <c r="S80" s="105">
        <v>0.67114093959731547</v>
      </c>
      <c r="T80" s="105">
        <v>18</v>
      </c>
      <c r="U80" s="105">
        <f t="shared" si="17"/>
        <v>219.63115784068793</v>
      </c>
    </row>
    <row r="81" spans="1:21">
      <c r="A81" s="2">
        <v>1808</v>
      </c>
      <c r="B81" s="42">
        <v>6</v>
      </c>
      <c r="C81" s="36">
        <v>5.5E-2</v>
      </c>
      <c r="D81" s="62">
        <v>8.7499999999999994E-2</v>
      </c>
      <c r="E81" s="43">
        <v>0.4</v>
      </c>
      <c r="F81" s="94">
        <f t="shared" si="15"/>
        <v>14.569002600000001</v>
      </c>
      <c r="H81" s="2">
        <v>6.4</v>
      </c>
      <c r="N81" s="43">
        <v>5.5750000000000002</v>
      </c>
      <c r="O81" s="46">
        <f t="shared" si="16"/>
        <v>1.4368559000000001</v>
      </c>
      <c r="S81">
        <v>0.53475935828876997</v>
      </c>
      <c r="T81" s="105">
        <v>18</v>
      </c>
    </row>
    <row r="82" spans="1:21">
      <c r="A82" s="2">
        <v>1809</v>
      </c>
      <c r="B82" s="42">
        <v>6.5</v>
      </c>
      <c r="C82" s="36">
        <v>0.06</v>
      </c>
      <c r="D82" s="62">
        <v>0.25</v>
      </c>
      <c r="E82" s="43">
        <v>0.4</v>
      </c>
      <c r="F82" s="95">
        <f t="shared" si="15"/>
        <v>17.666706700000002</v>
      </c>
      <c r="G82" s="45">
        <f>F82*100/R82</f>
        <v>71.350025042982182</v>
      </c>
      <c r="H82" s="2">
        <v>7.6</v>
      </c>
      <c r="I82" s="2">
        <v>0.25</v>
      </c>
      <c r="J82" s="2">
        <v>1</v>
      </c>
      <c r="K82" s="44">
        <f>H82*0.15873+I82*7.042254+J82*0.079365</f>
        <v>3.0462765000000003</v>
      </c>
      <c r="L82" s="45">
        <f>K82*100/R82</f>
        <v>12.302910115264895</v>
      </c>
      <c r="N82" s="43">
        <v>11.13</v>
      </c>
      <c r="O82" s="46">
        <f t="shared" si="16"/>
        <v>2.8685571600000004</v>
      </c>
      <c r="P82" s="45">
        <f>O82*100/R82</f>
        <v>11.58516007984815</v>
      </c>
      <c r="Q82" s="43">
        <f>(F82+K82+O82)*0.05</f>
        <v>1.1790770180000003</v>
      </c>
      <c r="R82" s="43">
        <f>F82+K82+O82+Q82</f>
        <v>24.760617378000006</v>
      </c>
      <c r="S82" s="105">
        <v>0.44843049327354262</v>
      </c>
      <c r="T82" s="105">
        <v>18</v>
      </c>
      <c r="U82" s="105">
        <f t="shared" ref="U82:U83" si="18">R82*S82*T82</f>
        <v>199.86148556233189</v>
      </c>
    </row>
    <row r="83" spans="1:21">
      <c r="A83" s="2">
        <v>1810</v>
      </c>
      <c r="B83" s="92">
        <f>6.5/100*20+6.5</f>
        <v>7.8</v>
      </c>
      <c r="C83" s="36">
        <v>7.0000000000000007E-2</v>
      </c>
      <c r="D83" s="62">
        <f>(0.29+0.42)/2</f>
        <v>0.35499999999999998</v>
      </c>
      <c r="E83" s="43">
        <v>0.4</v>
      </c>
      <c r="F83" s="95">
        <f t="shared" si="15"/>
        <v>21.812201399999999</v>
      </c>
      <c r="G83" s="45">
        <f>F83*100/R83</f>
        <v>72.713224960855683</v>
      </c>
      <c r="H83" s="2">
        <v>12</v>
      </c>
      <c r="I83" s="2">
        <v>0.185</v>
      </c>
      <c r="J83" s="2">
        <v>9</v>
      </c>
      <c r="K83" s="44">
        <f>H83*0.15873+I83*7.042254+J83*0.079365</f>
        <v>3.92186199</v>
      </c>
      <c r="L83" s="45">
        <f>K83*100/R83</f>
        <v>13.073931783166971</v>
      </c>
      <c r="N83" s="43">
        <v>11</v>
      </c>
      <c r="O83" s="46">
        <f t="shared" si="16"/>
        <v>2.8350520000000001</v>
      </c>
      <c r="P83" s="45">
        <f>O83*100/R83</f>
        <v>9.4509384940725809</v>
      </c>
      <c r="Q83" s="43">
        <f>(F83+K83+O83)*0.05</f>
        <v>1.4284557695000002</v>
      </c>
      <c r="R83" s="43">
        <f>F83+K83+O83+Q83</f>
        <v>29.997571159500001</v>
      </c>
      <c r="S83" s="105">
        <v>0.33</v>
      </c>
      <c r="T83" s="105">
        <v>18</v>
      </c>
      <c r="U83" s="105">
        <f t="shared" si="18"/>
        <v>178.18557268743001</v>
      </c>
    </row>
    <row r="84" spans="1:21">
      <c r="A84" s="2">
        <v>1811</v>
      </c>
      <c r="B84" s="42">
        <f>7.8/100*15+7.5</f>
        <v>8.67</v>
      </c>
      <c r="E84" s="43">
        <v>0.4</v>
      </c>
      <c r="J84" s="2">
        <v>4.8</v>
      </c>
      <c r="N84" s="43">
        <v>12</v>
      </c>
      <c r="O84" s="46">
        <f t="shared" si="16"/>
        <v>3.092784</v>
      </c>
      <c r="P84" s="45"/>
      <c r="S84">
        <v>0.26400000000000001</v>
      </c>
      <c r="T84" s="105">
        <v>18</v>
      </c>
    </row>
    <row r="85" spans="1:21">
      <c r="A85" s="2">
        <v>1812</v>
      </c>
      <c r="B85" s="42">
        <v>11.67</v>
      </c>
      <c r="C85" s="36">
        <v>9.7777777777777797E-2</v>
      </c>
      <c r="D85" s="62">
        <v>0.4366666666666667</v>
      </c>
      <c r="E85" s="2">
        <v>0.4</v>
      </c>
      <c r="F85" s="94">
        <f>2.110043*B85+12.19512*C85+12.19512*D85+E85*0.42735</f>
        <v>31.312755943333336</v>
      </c>
      <c r="H85" s="2">
        <f>(9+9.93)/2</f>
        <v>9.4649999999999999</v>
      </c>
      <c r="I85" s="2">
        <v>0.26</v>
      </c>
      <c r="N85" s="43">
        <v>11.32</v>
      </c>
      <c r="O85" s="46">
        <f t="shared" si="16"/>
        <v>2.9175262400000004</v>
      </c>
      <c r="P85" s="45"/>
      <c r="S85">
        <v>0.252</v>
      </c>
      <c r="T85" s="105">
        <v>18</v>
      </c>
    </row>
    <row r="86" spans="1:21">
      <c r="A86" s="2">
        <v>1813</v>
      </c>
      <c r="B86" s="42">
        <f>1.55*8</f>
        <v>12.4</v>
      </c>
      <c r="D86" s="62">
        <v>0.43099999999999999</v>
      </c>
      <c r="F86" s="94"/>
      <c r="H86" s="2">
        <v>11.56</v>
      </c>
      <c r="I86" s="2">
        <v>0.32</v>
      </c>
      <c r="N86" s="43">
        <v>16</v>
      </c>
      <c r="O86" s="46">
        <f t="shared" si="16"/>
        <v>4.1237120000000003</v>
      </c>
      <c r="P86" s="45"/>
      <c r="S86">
        <v>0.252</v>
      </c>
      <c r="T86" s="105">
        <v>18</v>
      </c>
    </row>
    <row r="87" spans="1:21">
      <c r="A87" s="2">
        <v>1814</v>
      </c>
      <c r="F87" s="94"/>
      <c r="H87" s="2">
        <v>19.39</v>
      </c>
      <c r="I87" s="2">
        <v>0.25600000000000001</v>
      </c>
      <c r="N87" s="43">
        <v>17.77</v>
      </c>
      <c r="O87" s="46">
        <f t="shared" si="16"/>
        <v>4.5798976400000004</v>
      </c>
      <c r="P87" s="45"/>
      <c r="S87">
        <v>0.2</v>
      </c>
      <c r="T87" s="105">
        <v>18</v>
      </c>
    </row>
    <row r="88" spans="1:21">
      <c r="A88" s="2">
        <v>1815</v>
      </c>
      <c r="B88" s="42">
        <f>1.15*8</f>
        <v>9.1999999999999993</v>
      </c>
      <c r="C88" s="36">
        <f>(0.1+0.09+0.07)/3</f>
        <v>8.666666666666667E-2</v>
      </c>
      <c r="D88" s="62">
        <v>0.45</v>
      </c>
      <c r="E88" s="2">
        <v>1.72</v>
      </c>
      <c r="F88" s="94">
        <f>2.110043*B88+12.19512*C88+12.19512*D88+E88*0.42735</f>
        <v>26.692152</v>
      </c>
      <c r="H88" s="2">
        <v>18.05</v>
      </c>
      <c r="I88" s="2">
        <v>0.32</v>
      </c>
      <c r="J88" s="2">
        <v>19.8</v>
      </c>
      <c r="K88" s="44">
        <f>H88*0.15873+I88*7.042254+J88*0.079365</f>
        <v>6.6900247799999999</v>
      </c>
      <c r="N88" s="43">
        <f>(19.83+13)/2</f>
        <v>16.414999999999999</v>
      </c>
      <c r="O88" s="46">
        <f t="shared" si="16"/>
        <v>4.2306707799999996</v>
      </c>
      <c r="Q88" s="43">
        <f>(F88+K88+O88)*0.05</f>
        <v>1.8806423780000001</v>
      </c>
      <c r="R88" s="43">
        <f>F88+K88+O88+Q88</f>
        <v>39.493489937999996</v>
      </c>
      <c r="S88" s="105">
        <v>0.2</v>
      </c>
      <c r="T88" s="105">
        <v>18</v>
      </c>
      <c r="U88" s="105">
        <f>R88*S88*T88</f>
        <v>142.17656377679998</v>
      </c>
    </row>
    <row r="93" spans="1:21">
      <c r="A93" s="2" t="s">
        <v>335</v>
      </c>
    </row>
    <row r="94" spans="1:21">
      <c r="A94" s="66" t="s">
        <v>439</v>
      </c>
    </row>
    <row r="95" spans="1:21">
      <c r="A95" s="66" t="s">
        <v>376</v>
      </c>
    </row>
    <row r="96" spans="1:21">
      <c r="A96" s="66" t="s">
        <v>376</v>
      </c>
    </row>
    <row r="97" spans="1:1">
      <c r="A97" s="66" t="s">
        <v>376</v>
      </c>
    </row>
    <row r="98" spans="1:1">
      <c r="A98" s="66" t="s">
        <v>376</v>
      </c>
    </row>
    <row r="99" spans="1:1">
      <c r="A99" s="66" t="s">
        <v>376</v>
      </c>
    </row>
    <row r="100" spans="1:1">
      <c r="A100" s="66" t="s">
        <v>398</v>
      </c>
    </row>
    <row r="101" spans="1:1">
      <c r="A101" s="66" t="s">
        <v>398</v>
      </c>
    </row>
    <row r="102" spans="1:1">
      <c r="A102" s="66" t="s">
        <v>377</v>
      </c>
    </row>
    <row r="103" spans="1:1">
      <c r="A103" s="66" t="s">
        <v>377</v>
      </c>
    </row>
    <row r="104" spans="1:1">
      <c r="A104" s="66" t="s">
        <v>429</v>
      </c>
    </row>
    <row r="105" spans="1:1">
      <c r="A105" s="66" t="s">
        <v>399</v>
      </c>
    </row>
    <row r="106" spans="1:1">
      <c r="A106" s="66" t="s">
        <v>399</v>
      </c>
    </row>
    <row r="107" spans="1:1">
      <c r="A107" s="66" t="s">
        <v>399</v>
      </c>
    </row>
    <row r="108" spans="1:1">
      <c r="A108" s="66" t="s">
        <v>399</v>
      </c>
    </row>
    <row r="109" spans="1:1">
      <c r="A109" s="66" t="s">
        <v>399</v>
      </c>
    </row>
    <row r="110" spans="1:1">
      <c r="A110" s="66" t="s">
        <v>458</v>
      </c>
    </row>
    <row r="111" spans="1:1">
      <c r="A111" s="66" t="s">
        <v>430</v>
      </c>
    </row>
    <row r="112" spans="1:1">
      <c r="A112" s="66" t="s">
        <v>464</v>
      </c>
    </row>
    <row r="113" spans="1:1">
      <c r="A113" s="66" t="s">
        <v>400</v>
      </c>
    </row>
    <row r="114" spans="1:1">
      <c r="A114" s="66" t="s">
        <v>431</v>
      </c>
    </row>
    <row r="115" spans="1:1">
      <c r="A115" s="66" t="s">
        <v>418</v>
      </c>
    </row>
    <row r="116" spans="1:1">
      <c r="A116" s="66" t="s">
        <v>401</v>
      </c>
    </row>
    <row r="117" spans="1:1">
      <c r="A117" s="66" t="s">
        <v>401</v>
      </c>
    </row>
    <row r="118" spans="1:1">
      <c r="A118" s="66" t="s">
        <v>401</v>
      </c>
    </row>
    <row r="119" spans="1:1">
      <c r="A119" s="66" t="s">
        <v>402</v>
      </c>
    </row>
    <row r="120" spans="1:1">
      <c r="A120" s="66" t="s">
        <v>402</v>
      </c>
    </row>
    <row r="121" spans="1:1">
      <c r="A121" s="66" t="s">
        <v>440</v>
      </c>
    </row>
    <row r="122" spans="1:1">
      <c r="A122" s="66" t="s">
        <v>378</v>
      </c>
    </row>
    <row r="123" spans="1:1">
      <c r="A123" s="66" t="s">
        <v>378</v>
      </c>
    </row>
    <row r="124" spans="1:1">
      <c r="A124" s="66" t="s">
        <v>378</v>
      </c>
    </row>
    <row r="125" spans="1:1">
      <c r="A125" s="66" t="s">
        <v>432</v>
      </c>
    </row>
    <row r="126" spans="1:1">
      <c r="A126" s="66" t="s">
        <v>403</v>
      </c>
    </row>
    <row r="127" spans="1:1">
      <c r="A127" s="66" t="s">
        <v>403</v>
      </c>
    </row>
    <row r="128" spans="1:1">
      <c r="A128" s="66" t="s">
        <v>403</v>
      </c>
    </row>
    <row r="129" spans="1:1">
      <c r="A129" s="66" t="s">
        <v>336</v>
      </c>
    </row>
    <row r="130" spans="1:1">
      <c r="A130" s="66" t="s">
        <v>336</v>
      </c>
    </row>
    <row r="131" spans="1:1">
      <c r="A131" s="66" t="s">
        <v>336</v>
      </c>
    </row>
    <row r="132" spans="1:1">
      <c r="A132" s="66" t="s">
        <v>336</v>
      </c>
    </row>
    <row r="133" spans="1:1">
      <c r="A133" s="66" t="s">
        <v>336</v>
      </c>
    </row>
    <row r="134" spans="1:1">
      <c r="A134" s="66" t="s">
        <v>336</v>
      </c>
    </row>
    <row r="135" spans="1:1">
      <c r="A135" s="66" t="s">
        <v>337</v>
      </c>
    </row>
    <row r="136" spans="1:1">
      <c r="A136" s="66" t="s">
        <v>337</v>
      </c>
    </row>
    <row r="137" spans="1:1">
      <c r="A137" s="66" t="s">
        <v>337</v>
      </c>
    </row>
    <row r="138" spans="1:1">
      <c r="A138" s="66" t="s">
        <v>337</v>
      </c>
    </row>
    <row r="139" spans="1:1">
      <c r="A139" s="66" t="s">
        <v>338</v>
      </c>
    </row>
    <row r="140" spans="1:1">
      <c r="A140" s="66" t="s">
        <v>338</v>
      </c>
    </row>
    <row r="141" spans="1:1">
      <c r="A141" s="66" t="s">
        <v>338</v>
      </c>
    </row>
    <row r="142" spans="1:1">
      <c r="A142" s="66" t="s">
        <v>338</v>
      </c>
    </row>
    <row r="143" spans="1:1">
      <c r="A143" s="66" t="s">
        <v>338</v>
      </c>
    </row>
    <row r="144" spans="1:1">
      <c r="A144" s="66" t="s">
        <v>338</v>
      </c>
    </row>
    <row r="145" spans="1:1">
      <c r="A145" s="66" t="s">
        <v>339</v>
      </c>
    </row>
    <row r="146" spans="1:1">
      <c r="A146" s="66" t="s">
        <v>339</v>
      </c>
    </row>
    <row r="147" spans="1:1">
      <c r="A147" s="66" t="s">
        <v>339</v>
      </c>
    </row>
    <row r="148" spans="1:1">
      <c r="A148" s="66" t="s">
        <v>339</v>
      </c>
    </row>
    <row r="149" spans="1:1">
      <c r="A149" s="66" t="s">
        <v>339</v>
      </c>
    </row>
    <row r="150" spans="1:1">
      <c r="A150" s="66" t="s">
        <v>339</v>
      </c>
    </row>
    <row r="151" spans="1:1">
      <c r="A151" s="66" t="s">
        <v>379</v>
      </c>
    </row>
    <row r="152" spans="1:1">
      <c r="A152" s="66" t="s">
        <v>379</v>
      </c>
    </row>
    <row r="153" spans="1:1">
      <c r="A153" s="66" t="s">
        <v>379</v>
      </c>
    </row>
    <row r="154" spans="1:1">
      <c r="A154" s="66" t="s">
        <v>379</v>
      </c>
    </row>
    <row r="155" spans="1:1">
      <c r="A155" s="66" t="s">
        <v>379</v>
      </c>
    </row>
    <row r="156" spans="1:1">
      <c r="A156" s="66" t="s">
        <v>379</v>
      </c>
    </row>
    <row r="157" spans="1:1">
      <c r="A157" s="66" t="s">
        <v>379</v>
      </c>
    </row>
    <row r="158" spans="1:1">
      <c r="A158" s="66" t="s">
        <v>404</v>
      </c>
    </row>
    <row r="159" spans="1:1">
      <c r="A159" s="66" t="s">
        <v>404</v>
      </c>
    </row>
    <row r="160" spans="1:1">
      <c r="A160" s="66" t="s">
        <v>380</v>
      </c>
    </row>
    <row r="161" spans="1:1">
      <c r="A161" s="66" t="s">
        <v>381</v>
      </c>
    </row>
    <row r="162" spans="1:1">
      <c r="A162" s="66" t="s">
        <v>381</v>
      </c>
    </row>
    <row r="163" spans="1:1">
      <c r="A163" s="66" t="s">
        <v>381</v>
      </c>
    </row>
    <row r="164" spans="1:1">
      <c r="A164" s="66" t="s">
        <v>340</v>
      </c>
    </row>
    <row r="165" spans="1:1">
      <c r="A165" s="66" t="s">
        <v>382</v>
      </c>
    </row>
    <row r="166" spans="1:1">
      <c r="A166" s="66" t="s">
        <v>441</v>
      </c>
    </row>
    <row r="167" spans="1:1">
      <c r="A167" s="66" t="s">
        <v>341</v>
      </c>
    </row>
    <row r="168" spans="1:1">
      <c r="A168" s="66" t="s">
        <v>342</v>
      </c>
    </row>
    <row r="169" spans="1:1">
      <c r="A169" s="66" t="s">
        <v>383</v>
      </c>
    </row>
    <row r="170" spans="1:1">
      <c r="A170" s="66" t="s">
        <v>384</v>
      </c>
    </row>
    <row r="171" spans="1:1">
      <c r="A171" s="66" t="s">
        <v>442</v>
      </c>
    </row>
    <row r="172" spans="1:1">
      <c r="A172" s="66" t="s">
        <v>443</v>
      </c>
    </row>
    <row r="173" spans="1:1">
      <c r="A173" s="66" t="s">
        <v>343</v>
      </c>
    </row>
    <row r="174" spans="1:1">
      <c r="A174" s="66" t="s">
        <v>459</v>
      </c>
    </row>
    <row r="175" spans="1:1">
      <c r="A175" s="66" t="s">
        <v>419</v>
      </c>
    </row>
    <row r="176" spans="1:1">
      <c r="A176" s="66" t="s">
        <v>419</v>
      </c>
    </row>
    <row r="177" spans="1:1">
      <c r="A177" s="66" t="s">
        <v>419</v>
      </c>
    </row>
    <row r="178" spans="1:1">
      <c r="A178" s="66" t="s">
        <v>420</v>
      </c>
    </row>
    <row r="179" spans="1:1">
      <c r="A179" s="66" t="s">
        <v>420</v>
      </c>
    </row>
    <row r="180" spans="1:1">
      <c r="A180" s="66" t="s">
        <v>421</v>
      </c>
    </row>
    <row r="181" spans="1:1">
      <c r="A181" s="66" t="s">
        <v>421</v>
      </c>
    </row>
    <row r="182" spans="1:1">
      <c r="A182" s="66" t="s">
        <v>444</v>
      </c>
    </row>
    <row r="183" spans="1:1">
      <c r="A183" s="66" t="s">
        <v>344</v>
      </c>
    </row>
    <row r="184" spans="1:1">
      <c r="A184" s="66" t="s">
        <v>344</v>
      </c>
    </row>
    <row r="185" spans="1:1">
      <c r="A185" s="66" t="s">
        <v>344</v>
      </c>
    </row>
    <row r="186" spans="1:1">
      <c r="A186" s="66" t="s">
        <v>344</v>
      </c>
    </row>
    <row r="187" spans="1:1">
      <c r="A187" s="66" t="s">
        <v>344</v>
      </c>
    </row>
    <row r="188" spans="1:1">
      <c r="A188" s="66" t="s">
        <v>344</v>
      </c>
    </row>
    <row r="189" spans="1:1">
      <c r="A189" s="66" t="s">
        <v>344</v>
      </c>
    </row>
    <row r="190" spans="1:1">
      <c r="A190" s="66" t="s">
        <v>344</v>
      </c>
    </row>
    <row r="191" spans="1:1">
      <c r="A191" s="66" t="s">
        <v>385</v>
      </c>
    </row>
    <row r="192" spans="1:1">
      <c r="A192" s="66" t="s">
        <v>385</v>
      </c>
    </row>
    <row r="193" spans="1:1">
      <c r="A193" s="66" t="s">
        <v>385</v>
      </c>
    </row>
    <row r="194" spans="1:1">
      <c r="A194" s="66" t="s">
        <v>345</v>
      </c>
    </row>
    <row r="195" spans="1:1">
      <c r="A195" s="66" t="s">
        <v>345</v>
      </c>
    </row>
    <row r="196" spans="1:1">
      <c r="A196" s="66" t="s">
        <v>345</v>
      </c>
    </row>
    <row r="197" spans="1:1">
      <c r="A197" s="66" t="s">
        <v>345</v>
      </c>
    </row>
    <row r="198" spans="1:1">
      <c r="A198" s="66" t="s">
        <v>346</v>
      </c>
    </row>
    <row r="199" spans="1:1">
      <c r="A199" s="66" t="s">
        <v>347</v>
      </c>
    </row>
    <row r="200" spans="1:1">
      <c r="A200" s="66" t="s">
        <v>348</v>
      </c>
    </row>
    <row r="201" spans="1:1">
      <c r="A201" s="66" t="s">
        <v>349</v>
      </c>
    </row>
    <row r="202" spans="1:1">
      <c r="A202" s="66" t="s">
        <v>349</v>
      </c>
    </row>
    <row r="203" spans="1:1">
      <c r="A203" s="66" t="s">
        <v>349</v>
      </c>
    </row>
    <row r="204" spans="1:1">
      <c r="A204" s="66" t="s">
        <v>349</v>
      </c>
    </row>
    <row r="205" spans="1:1">
      <c r="A205" s="66" t="s">
        <v>349</v>
      </c>
    </row>
    <row r="206" spans="1:1">
      <c r="A206" s="66" t="s">
        <v>350</v>
      </c>
    </row>
    <row r="207" spans="1:1">
      <c r="A207" s="66" t="s">
        <v>350</v>
      </c>
    </row>
    <row r="208" spans="1:1">
      <c r="A208" s="66" t="s">
        <v>350</v>
      </c>
    </row>
    <row r="209" spans="1:1">
      <c r="A209" s="66" t="s">
        <v>350</v>
      </c>
    </row>
    <row r="210" spans="1:1">
      <c r="A210" s="66" t="s">
        <v>433</v>
      </c>
    </row>
    <row r="211" spans="1:1">
      <c r="A211" s="66" t="s">
        <v>433</v>
      </c>
    </row>
    <row r="212" spans="1:1">
      <c r="A212" s="66" t="s">
        <v>434</v>
      </c>
    </row>
    <row r="213" spans="1:1">
      <c r="A213" s="66" t="s">
        <v>434</v>
      </c>
    </row>
    <row r="214" spans="1:1">
      <c r="A214" s="66" t="s">
        <v>445</v>
      </c>
    </row>
    <row r="215" spans="1:1">
      <c r="A215" s="66" t="s">
        <v>435</v>
      </c>
    </row>
    <row r="216" spans="1:1">
      <c r="A216" s="66" t="s">
        <v>351</v>
      </c>
    </row>
    <row r="217" spans="1:1">
      <c r="A217" s="66" t="s">
        <v>351</v>
      </c>
    </row>
    <row r="218" spans="1:1">
      <c r="A218" s="66" t="s">
        <v>351</v>
      </c>
    </row>
    <row r="219" spans="1:1">
      <c r="A219" s="66" t="s">
        <v>351</v>
      </c>
    </row>
    <row r="220" spans="1:1">
      <c r="A220" s="66" t="s">
        <v>351</v>
      </c>
    </row>
    <row r="221" spans="1:1">
      <c r="A221" s="66" t="s">
        <v>422</v>
      </c>
    </row>
    <row r="222" spans="1:1">
      <c r="A222" s="66" t="s">
        <v>405</v>
      </c>
    </row>
    <row r="223" spans="1:1">
      <c r="A223" s="66" t="s">
        <v>405</v>
      </c>
    </row>
    <row r="224" spans="1:1">
      <c r="A224" s="66" t="s">
        <v>460</v>
      </c>
    </row>
    <row r="225" spans="1:1">
      <c r="A225" s="66" t="s">
        <v>461</v>
      </c>
    </row>
    <row r="226" spans="1:1">
      <c r="A226" s="66" t="s">
        <v>436</v>
      </c>
    </row>
    <row r="227" spans="1:1">
      <c r="A227" s="66" t="s">
        <v>463</v>
      </c>
    </row>
    <row r="228" spans="1:1">
      <c r="A228" s="66" t="s">
        <v>406</v>
      </c>
    </row>
    <row r="229" spans="1:1">
      <c r="A229" s="66" t="s">
        <v>386</v>
      </c>
    </row>
    <row r="230" spans="1:1">
      <c r="A230" s="66" t="s">
        <v>386</v>
      </c>
    </row>
    <row r="231" spans="1:1">
      <c r="A231" s="66" t="s">
        <v>407</v>
      </c>
    </row>
    <row r="232" spans="1:1">
      <c r="A232" s="66" t="s">
        <v>407</v>
      </c>
    </row>
    <row r="233" spans="1:1">
      <c r="A233" s="66" t="s">
        <v>407</v>
      </c>
    </row>
    <row r="234" spans="1:1">
      <c r="A234" s="66" t="s">
        <v>387</v>
      </c>
    </row>
    <row r="235" spans="1:1">
      <c r="A235" s="66" t="s">
        <v>387</v>
      </c>
    </row>
    <row r="236" spans="1:1">
      <c r="A236" s="66" t="s">
        <v>387</v>
      </c>
    </row>
    <row r="237" spans="1:1">
      <c r="A237" s="66" t="s">
        <v>388</v>
      </c>
    </row>
    <row r="238" spans="1:1">
      <c r="A238" s="66" t="s">
        <v>388</v>
      </c>
    </row>
    <row r="239" spans="1:1">
      <c r="A239" s="66" t="s">
        <v>388</v>
      </c>
    </row>
    <row r="240" spans="1:1">
      <c r="A240" s="66" t="s">
        <v>388</v>
      </c>
    </row>
    <row r="241" spans="1:1">
      <c r="A241" s="66" t="s">
        <v>408</v>
      </c>
    </row>
    <row r="242" spans="1:1">
      <c r="A242" s="66" t="s">
        <v>352</v>
      </c>
    </row>
    <row r="243" spans="1:1">
      <c r="A243" s="66" t="s">
        <v>352</v>
      </c>
    </row>
    <row r="244" spans="1:1">
      <c r="A244" s="66" t="s">
        <v>352</v>
      </c>
    </row>
    <row r="245" spans="1:1">
      <c r="A245" s="66" t="s">
        <v>353</v>
      </c>
    </row>
    <row r="246" spans="1:1">
      <c r="A246" s="66" t="s">
        <v>353</v>
      </c>
    </row>
    <row r="247" spans="1:1">
      <c r="A247" s="66" t="s">
        <v>353</v>
      </c>
    </row>
    <row r="248" spans="1:1">
      <c r="A248" s="66" t="s">
        <v>353</v>
      </c>
    </row>
    <row r="249" spans="1:1">
      <c r="A249" s="66" t="s">
        <v>423</v>
      </c>
    </row>
    <row r="250" spans="1:1">
      <c r="A250" s="66" t="s">
        <v>437</v>
      </c>
    </row>
    <row r="251" spans="1:1">
      <c r="A251" s="66" t="s">
        <v>354</v>
      </c>
    </row>
    <row r="252" spans="1:1">
      <c r="A252" s="66" t="s">
        <v>354</v>
      </c>
    </row>
    <row r="253" spans="1:1">
      <c r="A253" s="66" t="s">
        <v>354</v>
      </c>
    </row>
    <row r="254" spans="1:1">
      <c r="A254" s="66" t="s">
        <v>354</v>
      </c>
    </row>
    <row r="255" spans="1:1">
      <c r="A255" s="66" t="s">
        <v>389</v>
      </c>
    </row>
    <row r="256" spans="1:1">
      <c r="A256" s="66" t="s">
        <v>389</v>
      </c>
    </row>
    <row r="257" spans="1:1">
      <c r="A257" s="66" t="s">
        <v>389</v>
      </c>
    </row>
    <row r="258" spans="1:1">
      <c r="A258" s="66" t="s">
        <v>355</v>
      </c>
    </row>
    <row r="259" spans="1:1">
      <c r="A259" s="66" t="s">
        <v>355</v>
      </c>
    </row>
    <row r="260" spans="1:1">
      <c r="A260" s="66" t="s">
        <v>355</v>
      </c>
    </row>
    <row r="261" spans="1:1">
      <c r="A261" s="66" t="s">
        <v>355</v>
      </c>
    </row>
    <row r="262" spans="1:1">
      <c r="A262" s="66" t="s">
        <v>356</v>
      </c>
    </row>
    <row r="263" spans="1:1">
      <c r="A263" s="66" t="s">
        <v>356</v>
      </c>
    </row>
    <row r="264" spans="1:1">
      <c r="A264" s="66" t="s">
        <v>356</v>
      </c>
    </row>
    <row r="265" spans="1:1">
      <c r="A265" s="66" t="s">
        <v>356</v>
      </c>
    </row>
    <row r="266" spans="1:1">
      <c r="A266" s="66" t="s">
        <v>356</v>
      </c>
    </row>
    <row r="267" spans="1:1">
      <c r="A267" s="66" t="s">
        <v>357</v>
      </c>
    </row>
    <row r="268" spans="1:1">
      <c r="A268" s="66" t="s">
        <v>357</v>
      </c>
    </row>
    <row r="269" spans="1:1">
      <c r="A269" s="66" t="s">
        <v>357</v>
      </c>
    </row>
    <row r="270" spans="1:1">
      <c r="A270" s="66" t="s">
        <v>357</v>
      </c>
    </row>
    <row r="271" spans="1:1">
      <c r="A271" s="66" t="s">
        <v>358</v>
      </c>
    </row>
    <row r="272" spans="1:1">
      <c r="A272" s="66" t="s">
        <v>358</v>
      </c>
    </row>
    <row r="273" spans="1:1">
      <c r="A273" s="66" t="s">
        <v>358</v>
      </c>
    </row>
    <row r="274" spans="1:1">
      <c r="A274" s="66" t="s">
        <v>358</v>
      </c>
    </row>
    <row r="275" spans="1:1">
      <c r="A275" s="66" t="s">
        <v>359</v>
      </c>
    </row>
    <row r="276" spans="1:1">
      <c r="A276" s="66" t="s">
        <v>359</v>
      </c>
    </row>
    <row r="277" spans="1:1">
      <c r="A277" s="66" t="s">
        <v>359</v>
      </c>
    </row>
    <row r="278" spans="1:1">
      <c r="A278" s="66" t="s">
        <v>359</v>
      </c>
    </row>
    <row r="279" spans="1:1">
      <c r="A279" s="66" t="s">
        <v>359</v>
      </c>
    </row>
    <row r="280" spans="1:1">
      <c r="A280" s="66" t="s">
        <v>360</v>
      </c>
    </row>
    <row r="281" spans="1:1">
      <c r="A281" s="66" t="s">
        <v>360</v>
      </c>
    </row>
    <row r="282" spans="1:1">
      <c r="A282" s="66" t="s">
        <v>360</v>
      </c>
    </row>
    <row r="283" spans="1:1">
      <c r="A283" s="66" t="s">
        <v>360</v>
      </c>
    </row>
    <row r="284" spans="1:1">
      <c r="A284" s="66" t="s">
        <v>361</v>
      </c>
    </row>
    <row r="285" spans="1:1">
      <c r="A285" s="66" t="s">
        <v>361</v>
      </c>
    </row>
    <row r="286" spans="1:1">
      <c r="A286" s="66" t="s">
        <v>361</v>
      </c>
    </row>
    <row r="287" spans="1:1">
      <c r="A287" s="66" t="s">
        <v>361</v>
      </c>
    </row>
    <row r="288" spans="1:1">
      <c r="A288" s="66" t="s">
        <v>361</v>
      </c>
    </row>
    <row r="289" spans="1:1">
      <c r="A289" s="66" t="s">
        <v>362</v>
      </c>
    </row>
    <row r="290" spans="1:1">
      <c r="A290" s="66" t="s">
        <v>362</v>
      </c>
    </row>
    <row r="291" spans="1:1">
      <c r="A291" s="66" t="s">
        <v>362</v>
      </c>
    </row>
    <row r="292" spans="1:1">
      <c r="A292" s="66" t="s">
        <v>362</v>
      </c>
    </row>
    <row r="293" spans="1:1">
      <c r="A293" s="66" t="s">
        <v>362</v>
      </c>
    </row>
    <row r="294" spans="1:1">
      <c r="A294" s="66" t="s">
        <v>390</v>
      </c>
    </row>
    <row r="295" spans="1:1">
      <c r="A295" s="66" t="s">
        <v>390</v>
      </c>
    </row>
    <row r="296" spans="1:1">
      <c r="A296" s="66" t="s">
        <v>390</v>
      </c>
    </row>
    <row r="297" spans="1:1">
      <c r="A297" s="66" t="s">
        <v>363</v>
      </c>
    </row>
    <row r="298" spans="1:1">
      <c r="A298" s="66" t="s">
        <v>363</v>
      </c>
    </row>
    <row r="299" spans="1:1">
      <c r="A299" s="66" t="s">
        <v>363</v>
      </c>
    </row>
    <row r="300" spans="1:1">
      <c r="A300" s="66" t="s">
        <v>363</v>
      </c>
    </row>
    <row r="301" spans="1:1">
      <c r="A301" s="66" t="s">
        <v>363</v>
      </c>
    </row>
    <row r="302" spans="1:1">
      <c r="A302" s="66" t="s">
        <v>364</v>
      </c>
    </row>
    <row r="303" spans="1:1">
      <c r="A303" s="66" t="s">
        <v>364</v>
      </c>
    </row>
    <row r="304" spans="1:1">
      <c r="A304" s="66" t="s">
        <v>364</v>
      </c>
    </row>
    <row r="305" spans="1:1">
      <c r="A305" s="66" t="s">
        <v>364</v>
      </c>
    </row>
    <row r="306" spans="1:1">
      <c r="A306" s="66" t="s">
        <v>364</v>
      </c>
    </row>
    <row r="307" spans="1:1">
      <c r="A307" s="66" t="s">
        <v>365</v>
      </c>
    </row>
    <row r="308" spans="1:1">
      <c r="A308" s="66" t="s">
        <v>365</v>
      </c>
    </row>
    <row r="309" spans="1:1">
      <c r="A309" s="66" t="s">
        <v>365</v>
      </c>
    </row>
    <row r="310" spans="1:1">
      <c r="A310" s="66" t="s">
        <v>365</v>
      </c>
    </row>
    <row r="311" spans="1:1">
      <c r="A311" s="66" t="s">
        <v>391</v>
      </c>
    </row>
    <row r="312" spans="1:1">
      <c r="A312" s="66" t="s">
        <v>391</v>
      </c>
    </row>
    <row r="313" spans="1:1">
      <c r="A313" s="66" t="s">
        <v>391</v>
      </c>
    </row>
    <row r="314" spans="1:1">
      <c r="A314" s="66" t="s">
        <v>366</v>
      </c>
    </row>
    <row r="315" spans="1:1">
      <c r="A315" s="66" t="s">
        <v>366</v>
      </c>
    </row>
    <row r="316" spans="1:1">
      <c r="A316" s="66" t="s">
        <v>366</v>
      </c>
    </row>
    <row r="317" spans="1:1">
      <c r="A317" s="66" t="s">
        <v>366</v>
      </c>
    </row>
    <row r="318" spans="1:1">
      <c r="A318" s="66" t="s">
        <v>367</v>
      </c>
    </row>
    <row r="319" spans="1:1">
      <c r="A319" s="66" t="s">
        <v>367</v>
      </c>
    </row>
    <row r="320" spans="1:1">
      <c r="A320" s="66" t="s">
        <v>367</v>
      </c>
    </row>
    <row r="321" spans="1:1">
      <c r="A321" s="66" t="s">
        <v>367</v>
      </c>
    </row>
    <row r="322" spans="1:1">
      <c r="A322" s="66" t="s">
        <v>424</v>
      </c>
    </row>
    <row r="323" spans="1:1">
      <c r="A323" s="66" t="s">
        <v>368</v>
      </c>
    </row>
    <row r="324" spans="1:1">
      <c r="A324" s="66" t="s">
        <v>368</v>
      </c>
    </row>
    <row r="325" spans="1:1">
      <c r="A325" s="66" t="s">
        <v>368</v>
      </c>
    </row>
    <row r="326" spans="1:1">
      <c r="A326" s="66" t="s">
        <v>409</v>
      </c>
    </row>
    <row r="327" spans="1:1">
      <c r="A327" s="66" t="s">
        <v>410</v>
      </c>
    </row>
    <row r="328" spans="1:1">
      <c r="A328" s="66" t="s">
        <v>369</v>
      </c>
    </row>
    <row r="329" spans="1:1">
      <c r="A329" s="66" t="s">
        <v>370</v>
      </c>
    </row>
    <row r="330" spans="1:1">
      <c r="A330" s="66" t="s">
        <v>370</v>
      </c>
    </row>
    <row r="331" spans="1:1">
      <c r="A331" s="66" t="s">
        <v>370</v>
      </c>
    </row>
    <row r="332" spans="1:1">
      <c r="A332" s="66" t="s">
        <v>371</v>
      </c>
    </row>
    <row r="333" spans="1:1">
      <c r="A333" s="66" t="s">
        <v>371</v>
      </c>
    </row>
    <row r="334" spans="1:1">
      <c r="A334" s="66" t="s">
        <v>371</v>
      </c>
    </row>
    <row r="335" spans="1:1">
      <c r="A335" s="66" t="s">
        <v>392</v>
      </c>
    </row>
    <row r="336" spans="1:1">
      <c r="A336" s="66" t="s">
        <v>392</v>
      </c>
    </row>
    <row r="337" spans="1:1">
      <c r="A337" s="66" t="s">
        <v>392</v>
      </c>
    </row>
    <row r="338" spans="1:1">
      <c r="A338" s="66" t="s">
        <v>425</v>
      </c>
    </row>
    <row r="339" spans="1:1">
      <c r="A339" s="66" t="s">
        <v>425</v>
      </c>
    </row>
    <row r="340" spans="1:1">
      <c r="A340" s="66" t="s">
        <v>425</v>
      </c>
    </row>
    <row r="341" spans="1:1">
      <c r="A341" s="66" t="s">
        <v>425</v>
      </c>
    </row>
    <row r="342" spans="1:1">
      <c r="A342" s="66" t="s">
        <v>426</v>
      </c>
    </row>
    <row r="343" spans="1:1">
      <c r="A343" s="66" t="s">
        <v>372</v>
      </c>
    </row>
    <row r="344" spans="1:1">
      <c r="A344" s="66" t="s">
        <v>372</v>
      </c>
    </row>
    <row r="345" spans="1:1">
      <c r="A345" s="66" t="s">
        <v>372</v>
      </c>
    </row>
    <row r="346" spans="1:1">
      <c r="A346" s="66" t="s">
        <v>372</v>
      </c>
    </row>
    <row r="347" spans="1:1">
      <c r="A347" s="66" t="s">
        <v>372</v>
      </c>
    </row>
    <row r="348" spans="1:1">
      <c r="A348" s="66" t="s">
        <v>372</v>
      </c>
    </row>
    <row r="349" spans="1:1">
      <c r="A349" s="66" t="s">
        <v>372</v>
      </c>
    </row>
    <row r="350" spans="1:1">
      <c r="A350" s="66" t="s">
        <v>446</v>
      </c>
    </row>
    <row r="351" spans="1:1">
      <c r="A351" s="66" t="s">
        <v>447</v>
      </c>
    </row>
    <row r="352" spans="1:1">
      <c r="A352" s="66" t="s">
        <v>448</v>
      </c>
    </row>
    <row r="353" spans="1:1">
      <c r="A353" s="66" t="s">
        <v>449</v>
      </c>
    </row>
    <row r="354" spans="1:1">
      <c r="A354" s="66" t="s">
        <v>450</v>
      </c>
    </row>
    <row r="355" spans="1:1">
      <c r="A355" s="66" t="s">
        <v>451</v>
      </c>
    </row>
    <row r="356" spans="1:1">
      <c r="A356" s="66" t="s">
        <v>452</v>
      </c>
    </row>
    <row r="357" spans="1:1">
      <c r="A357" s="66" t="s">
        <v>453</v>
      </c>
    </row>
    <row r="358" spans="1:1">
      <c r="A358" s="66" t="s">
        <v>454</v>
      </c>
    </row>
    <row r="359" spans="1:1">
      <c r="A359" s="66" t="s">
        <v>427</v>
      </c>
    </row>
    <row r="360" spans="1:1">
      <c r="A360" s="66" t="s">
        <v>411</v>
      </c>
    </row>
    <row r="361" spans="1:1">
      <c r="A361" s="66" t="s">
        <v>412</v>
      </c>
    </row>
    <row r="362" spans="1:1">
      <c r="A362" s="66" t="s">
        <v>412</v>
      </c>
    </row>
    <row r="363" spans="1:1">
      <c r="A363" s="66" t="s">
        <v>412</v>
      </c>
    </row>
    <row r="364" spans="1:1">
      <c r="A364" s="66" t="s">
        <v>412</v>
      </c>
    </row>
    <row r="365" spans="1:1">
      <c r="A365" s="66" t="s">
        <v>393</v>
      </c>
    </row>
    <row r="366" spans="1:1">
      <c r="A366" s="66" t="s">
        <v>393</v>
      </c>
    </row>
    <row r="367" spans="1:1">
      <c r="A367" s="66" t="s">
        <v>394</v>
      </c>
    </row>
    <row r="368" spans="1:1">
      <c r="A368" s="66" t="s">
        <v>394</v>
      </c>
    </row>
    <row r="369" spans="1:1">
      <c r="A369" s="66" t="s">
        <v>394</v>
      </c>
    </row>
    <row r="370" spans="1:1">
      <c r="A370" s="66" t="s">
        <v>394</v>
      </c>
    </row>
    <row r="371" spans="1:1">
      <c r="A371" s="66" t="s">
        <v>394</v>
      </c>
    </row>
    <row r="372" spans="1:1">
      <c r="A372" s="66" t="s">
        <v>394</v>
      </c>
    </row>
    <row r="373" spans="1:1">
      <c r="A373" s="66" t="s">
        <v>455</v>
      </c>
    </row>
    <row r="374" spans="1:1">
      <c r="A374" s="66" t="s">
        <v>455</v>
      </c>
    </row>
    <row r="375" spans="1:1">
      <c r="A375" s="66" t="s">
        <v>455</v>
      </c>
    </row>
    <row r="376" spans="1:1">
      <c r="A376" s="66" t="s">
        <v>462</v>
      </c>
    </row>
    <row r="377" spans="1:1">
      <c r="A377" s="66" t="s">
        <v>395</v>
      </c>
    </row>
    <row r="378" spans="1:1">
      <c r="A378" s="66" t="s">
        <v>395</v>
      </c>
    </row>
    <row r="379" spans="1:1">
      <c r="A379" s="66" t="s">
        <v>413</v>
      </c>
    </row>
    <row r="380" spans="1:1">
      <c r="A380" s="66" t="s">
        <v>413</v>
      </c>
    </row>
    <row r="381" spans="1:1">
      <c r="A381" s="66" t="s">
        <v>413</v>
      </c>
    </row>
    <row r="382" spans="1:1">
      <c r="A382" s="66" t="s">
        <v>413</v>
      </c>
    </row>
    <row r="383" spans="1:1">
      <c r="A383" s="66" t="s">
        <v>428</v>
      </c>
    </row>
    <row r="384" spans="1:1">
      <c r="A384" s="66" t="s">
        <v>414</v>
      </c>
    </row>
    <row r="385" spans="1:1">
      <c r="A385" s="66" t="s">
        <v>414</v>
      </c>
    </row>
    <row r="386" spans="1:1">
      <c r="A386" s="66" t="s">
        <v>438</v>
      </c>
    </row>
    <row r="387" spans="1:1">
      <c r="A387" s="66" t="s">
        <v>396</v>
      </c>
    </row>
    <row r="388" spans="1:1">
      <c r="A388" s="66" t="s">
        <v>396</v>
      </c>
    </row>
    <row r="389" spans="1:1">
      <c r="A389" s="66" t="s">
        <v>396</v>
      </c>
    </row>
    <row r="390" spans="1:1">
      <c r="A390" s="66" t="s">
        <v>396</v>
      </c>
    </row>
    <row r="391" spans="1:1">
      <c r="A391" s="66" t="s">
        <v>373</v>
      </c>
    </row>
    <row r="392" spans="1:1">
      <c r="A392" s="66" t="s">
        <v>373</v>
      </c>
    </row>
    <row r="393" spans="1:1">
      <c r="A393" s="66" t="s">
        <v>373</v>
      </c>
    </row>
    <row r="394" spans="1:1">
      <c r="A394" s="66" t="s">
        <v>397</v>
      </c>
    </row>
    <row r="395" spans="1:1">
      <c r="A395" s="66" t="s">
        <v>397</v>
      </c>
    </row>
    <row r="396" spans="1:1">
      <c r="A396" s="66" t="s">
        <v>397</v>
      </c>
    </row>
    <row r="397" spans="1:1">
      <c r="A397" s="66" t="s">
        <v>456</v>
      </c>
    </row>
    <row r="398" spans="1:1">
      <c r="A398" s="66" t="s">
        <v>415</v>
      </c>
    </row>
    <row r="399" spans="1:1">
      <c r="A399" s="66" t="s">
        <v>415</v>
      </c>
    </row>
    <row r="400" spans="1:1">
      <c r="A400" s="66" t="s">
        <v>416</v>
      </c>
    </row>
    <row r="401" spans="1:1">
      <c r="A401" s="66" t="s">
        <v>416</v>
      </c>
    </row>
    <row r="402" spans="1:1">
      <c r="A402" s="66" t="s">
        <v>416</v>
      </c>
    </row>
    <row r="403" spans="1:1">
      <c r="A403" s="66" t="s">
        <v>374</v>
      </c>
    </row>
    <row r="404" spans="1:1">
      <c r="A404" s="66" t="s">
        <v>375</v>
      </c>
    </row>
    <row r="405" spans="1:1">
      <c r="A405" s="66" t="s">
        <v>457</v>
      </c>
    </row>
  </sheetData>
  <sortState xmlns:xlrd2="http://schemas.microsoft.com/office/spreadsheetml/2017/richdata2" ref="A94:A405">
    <sortCondition ref="A94:A405"/>
  </sortState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CDC21-861A-42AC-9291-A90F19DA9854}">
  <sheetPr>
    <tabColor rgb="FFFFFF00"/>
  </sheetPr>
  <dimension ref="A1:Y239"/>
  <sheetViews>
    <sheetView workbookViewId="0">
      <selection activeCell="Y28" sqref="Y28"/>
    </sheetView>
  </sheetViews>
  <sheetFormatPr defaultRowHeight="14.25"/>
  <cols>
    <col min="3" max="3" width="5.796875" hidden="1" customWidth="1"/>
    <col min="4" max="4" width="16.46484375" style="68" customWidth="1"/>
    <col min="5" max="5" width="5.59765625" hidden="1" customWidth="1"/>
    <col min="6" max="6" width="17.9296875" style="68" customWidth="1"/>
    <col min="7" max="7" width="3.73046875" hidden="1" customWidth="1"/>
    <col min="8" max="8" width="12.06640625" customWidth="1"/>
    <col min="9" max="9" width="5.06640625" hidden="1" customWidth="1"/>
    <col min="10" max="10" width="11.19921875" style="68" customWidth="1"/>
    <col min="11" max="11" width="11.265625" style="70" hidden="1" customWidth="1"/>
    <col min="12" max="12" width="0" style="68" hidden="1" customWidth="1"/>
    <col min="13" max="13" width="0" hidden="1" customWidth="1"/>
    <col min="14" max="14" width="8.73046875" style="68"/>
    <col min="15" max="15" width="13.53125" customWidth="1"/>
  </cols>
  <sheetData>
    <row r="1" spans="1:18">
      <c r="A1" t="s">
        <v>475</v>
      </c>
      <c r="B1" t="s">
        <v>472</v>
      </c>
      <c r="D1" s="68" t="s">
        <v>476</v>
      </c>
    </row>
    <row r="2" spans="1:18">
      <c r="C2" s="67" t="s">
        <v>465</v>
      </c>
      <c r="D2" s="67" t="s">
        <v>465</v>
      </c>
      <c r="E2" s="67" t="s">
        <v>466</v>
      </c>
      <c r="F2" s="67" t="s">
        <v>466</v>
      </c>
      <c r="G2" s="67" t="s">
        <v>467</v>
      </c>
      <c r="H2" s="67" t="s">
        <v>467</v>
      </c>
      <c r="I2" s="67" t="s">
        <v>468</v>
      </c>
      <c r="J2" s="67" t="s">
        <v>468</v>
      </c>
      <c r="K2" s="71" t="s">
        <v>558</v>
      </c>
      <c r="L2" s="69"/>
      <c r="M2" s="67" t="s">
        <v>469</v>
      </c>
      <c r="N2" s="67" t="s">
        <v>469</v>
      </c>
      <c r="O2" s="67" t="s">
        <v>470</v>
      </c>
      <c r="P2" s="67"/>
      <c r="Q2" s="67" t="s">
        <v>474</v>
      </c>
      <c r="R2" s="67"/>
    </row>
    <row r="3" spans="1:18" hidden="1">
      <c r="B3" t="s">
        <v>471</v>
      </c>
      <c r="C3" s="67" t="s">
        <v>473</v>
      </c>
      <c r="D3" s="69" t="s">
        <v>559</v>
      </c>
      <c r="E3" s="67" t="s">
        <v>473</v>
      </c>
      <c r="F3" s="69" t="s">
        <v>559</v>
      </c>
      <c r="G3" s="67" t="s">
        <v>473</v>
      </c>
      <c r="H3" s="69" t="s">
        <v>559</v>
      </c>
      <c r="I3" s="67" t="s">
        <v>473</v>
      </c>
      <c r="J3" s="69" t="s">
        <v>559</v>
      </c>
      <c r="K3" s="71" t="s">
        <v>559</v>
      </c>
      <c r="L3" s="69"/>
      <c r="M3" s="67" t="s">
        <v>473</v>
      </c>
      <c r="N3" s="69" t="s">
        <v>559</v>
      </c>
      <c r="O3" s="67" t="s">
        <v>473</v>
      </c>
      <c r="P3" s="69" t="s">
        <v>559</v>
      </c>
      <c r="Q3" s="67" t="s">
        <v>473</v>
      </c>
      <c r="R3" s="69" t="s">
        <v>559</v>
      </c>
    </row>
    <row r="4" spans="1:18">
      <c r="B4">
        <v>1701</v>
      </c>
      <c r="M4">
        <v>1</v>
      </c>
      <c r="N4" s="68">
        <v>0.06</v>
      </c>
      <c r="Q4">
        <v>1</v>
      </c>
      <c r="R4">
        <v>0.06</v>
      </c>
    </row>
    <row r="5" spans="1:18">
      <c r="B5">
        <v>1704</v>
      </c>
      <c r="E5">
        <v>1</v>
      </c>
      <c r="F5" s="68">
        <v>0.02</v>
      </c>
      <c r="K5" s="70">
        <f>F5</f>
        <v>0.02</v>
      </c>
      <c r="Q5">
        <v>1</v>
      </c>
      <c r="R5">
        <v>0.02</v>
      </c>
    </row>
    <row r="6" spans="1:18">
      <c r="B6">
        <v>1718</v>
      </c>
      <c r="D6" s="68">
        <v>1.6E-2</v>
      </c>
      <c r="E6">
        <v>1</v>
      </c>
      <c r="F6" s="68">
        <v>0.03</v>
      </c>
      <c r="K6" s="70">
        <f>F6</f>
        <v>0.03</v>
      </c>
      <c r="Q6">
        <v>1</v>
      </c>
      <c r="R6">
        <v>0.03</v>
      </c>
    </row>
    <row r="7" spans="1:18">
      <c r="B7">
        <v>1722</v>
      </c>
      <c r="M7">
        <v>2</v>
      </c>
      <c r="N7" s="68">
        <v>2.5000000000000001E-2</v>
      </c>
      <c r="Q7">
        <v>2</v>
      </c>
      <c r="R7">
        <v>2.5000000000000001E-2</v>
      </c>
    </row>
    <row r="8" spans="1:18">
      <c r="B8">
        <v>1724</v>
      </c>
      <c r="M8">
        <v>2</v>
      </c>
      <c r="N8" s="68">
        <v>4.4999999999999998E-2</v>
      </c>
      <c r="Q8">
        <v>2</v>
      </c>
      <c r="R8">
        <v>4.4999999999999998E-2</v>
      </c>
    </row>
    <row r="9" spans="1:18">
      <c r="B9">
        <v>1726</v>
      </c>
      <c r="E9">
        <v>1</v>
      </c>
      <c r="F9" s="68">
        <v>0.1</v>
      </c>
      <c r="K9" s="70">
        <f>F9</f>
        <v>0.1</v>
      </c>
      <c r="Q9">
        <v>1</v>
      </c>
      <c r="R9">
        <v>0.1</v>
      </c>
    </row>
    <row r="10" spans="1:18">
      <c r="B10">
        <v>1729</v>
      </c>
      <c r="M10">
        <v>1</v>
      </c>
      <c r="N10" s="68">
        <v>1.6E-2</v>
      </c>
      <c r="Q10">
        <v>1</v>
      </c>
      <c r="R10">
        <v>1.6E-2</v>
      </c>
    </row>
    <row r="11" spans="1:18">
      <c r="B11">
        <v>1730</v>
      </c>
      <c r="M11">
        <v>1</v>
      </c>
      <c r="N11" s="68">
        <v>0.08</v>
      </c>
      <c r="Q11">
        <v>1</v>
      </c>
      <c r="R11">
        <v>0.08</v>
      </c>
    </row>
    <row r="12" spans="1:18">
      <c r="B12">
        <v>1731</v>
      </c>
      <c r="M12">
        <v>1</v>
      </c>
      <c r="N12" s="68">
        <v>1.1999999999999999E-2</v>
      </c>
      <c r="Q12">
        <v>1</v>
      </c>
      <c r="R12">
        <v>1.1999999999999999E-2</v>
      </c>
    </row>
    <row r="13" spans="1:18">
      <c r="B13">
        <v>1734</v>
      </c>
      <c r="M13">
        <v>1</v>
      </c>
      <c r="N13" s="68">
        <v>1.6666666666666666E-2</v>
      </c>
      <c r="Q13">
        <v>1</v>
      </c>
      <c r="R13">
        <v>1.6666666666666666E-2</v>
      </c>
    </row>
    <row r="14" spans="1:18">
      <c r="B14">
        <v>1736</v>
      </c>
      <c r="M14">
        <v>2</v>
      </c>
      <c r="N14" s="68">
        <v>5.0000000000000001E-3</v>
      </c>
      <c r="Q14">
        <v>2</v>
      </c>
      <c r="R14">
        <v>5.0000000000000001E-3</v>
      </c>
    </row>
    <row r="15" spans="1:18">
      <c r="B15">
        <v>1737</v>
      </c>
      <c r="I15">
        <v>1</v>
      </c>
      <c r="J15" s="68">
        <v>1.4545454545454545E-2</v>
      </c>
      <c r="K15" s="70">
        <f>J15</f>
        <v>1.4545454545454545E-2</v>
      </c>
      <c r="M15">
        <v>2</v>
      </c>
      <c r="N15" s="68">
        <v>1.381818181818182E-2</v>
      </c>
      <c r="Q15">
        <v>3</v>
      </c>
      <c r="R15">
        <v>1.406060606060606E-2</v>
      </c>
    </row>
    <row r="16" spans="1:18">
      <c r="B16">
        <v>1738</v>
      </c>
      <c r="M16">
        <v>2</v>
      </c>
      <c r="N16" s="68">
        <v>3.833333333333333E-2</v>
      </c>
      <c r="Q16">
        <v>2</v>
      </c>
      <c r="R16">
        <v>3.833333333333333E-2</v>
      </c>
    </row>
    <row r="17" spans="2:25">
      <c r="B17">
        <v>1739</v>
      </c>
      <c r="M17">
        <v>1</v>
      </c>
      <c r="N17" s="68">
        <v>1.6666666666666666E-2</v>
      </c>
      <c r="Q17">
        <v>1</v>
      </c>
      <c r="R17">
        <v>1.6666666666666666E-2</v>
      </c>
    </row>
    <row r="18" spans="2:25">
      <c r="B18">
        <v>1740</v>
      </c>
      <c r="M18">
        <v>1</v>
      </c>
      <c r="N18" s="68">
        <v>1.3000000000000001E-2</v>
      </c>
      <c r="Q18">
        <v>1</v>
      </c>
      <c r="R18">
        <v>1.3000000000000001E-2</v>
      </c>
    </row>
    <row r="19" spans="2:25">
      <c r="B19">
        <v>1741</v>
      </c>
      <c r="E19">
        <v>1</v>
      </c>
      <c r="F19" s="68">
        <v>0.12</v>
      </c>
      <c r="K19" s="70">
        <f>F19</f>
        <v>0.12</v>
      </c>
      <c r="Q19">
        <v>1</v>
      </c>
      <c r="R19">
        <v>0.12</v>
      </c>
    </row>
    <row r="20" spans="2:25">
      <c r="B20">
        <v>1749</v>
      </c>
      <c r="C20">
        <v>2</v>
      </c>
      <c r="D20" s="68">
        <v>0.36085326086956526</v>
      </c>
      <c r="K20" s="70">
        <f>D20</f>
        <v>0.36085326086956526</v>
      </c>
      <c r="Q20">
        <v>2</v>
      </c>
      <c r="R20">
        <v>0.36085326086956526</v>
      </c>
    </row>
    <row r="21" spans="2:25">
      <c r="B21">
        <v>1756</v>
      </c>
      <c r="M21">
        <v>1</v>
      </c>
      <c r="N21" s="68">
        <v>0.02</v>
      </c>
      <c r="Q21">
        <v>1</v>
      </c>
      <c r="R21">
        <v>0.02</v>
      </c>
    </row>
    <row r="22" spans="2:25">
      <c r="B22">
        <v>1757</v>
      </c>
      <c r="E22">
        <v>1</v>
      </c>
      <c r="F22" s="68">
        <v>0.15</v>
      </c>
      <c r="K22" s="70">
        <f>F22</f>
        <v>0.15</v>
      </c>
      <c r="Q22">
        <v>1</v>
      </c>
      <c r="R22">
        <v>0.15</v>
      </c>
    </row>
    <row r="23" spans="2:25">
      <c r="B23">
        <v>1759</v>
      </c>
      <c r="E23">
        <v>2</v>
      </c>
      <c r="F23" s="68">
        <v>0.24</v>
      </c>
      <c r="K23" s="70">
        <f>F23</f>
        <v>0.24</v>
      </c>
      <c r="Q23">
        <v>2</v>
      </c>
      <c r="R23">
        <v>0.24</v>
      </c>
    </row>
    <row r="24" spans="2:25">
      <c r="B24">
        <v>1762</v>
      </c>
      <c r="M24">
        <v>1</v>
      </c>
      <c r="N24" s="68">
        <v>0.04</v>
      </c>
      <c r="Q24">
        <v>1</v>
      </c>
      <c r="R24">
        <v>1.6000000000000001E-3</v>
      </c>
    </row>
    <row r="25" spans="2:25">
      <c r="B25">
        <v>1764</v>
      </c>
      <c r="G25">
        <v>1</v>
      </c>
      <c r="H25">
        <v>0.5714285714285714</v>
      </c>
      <c r="K25" s="70">
        <f>H25</f>
        <v>0.5714285714285714</v>
      </c>
      <c r="M25">
        <v>6</v>
      </c>
      <c r="N25" s="68">
        <v>0.11333333333333333</v>
      </c>
      <c r="Q25">
        <v>8</v>
      </c>
      <c r="R25">
        <v>0.30375000000000002</v>
      </c>
    </row>
    <row r="26" spans="2:25">
      <c r="B26">
        <v>1765</v>
      </c>
      <c r="O26">
        <v>3</v>
      </c>
      <c r="P26">
        <v>0.7029629629629629</v>
      </c>
      <c r="Q26">
        <v>3</v>
      </c>
      <c r="R26">
        <v>0.7029629629629629</v>
      </c>
    </row>
    <row r="27" spans="2:25">
      <c r="B27">
        <v>1766</v>
      </c>
      <c r="I27">
        <v>1</v>
      </c>
      <c r="J27" s="68">
        <v>0.25</v>
      </c>
      <c r="K27" s="70">
        <f>J27</f>
        <v>0.25</v>
      </c>
      <c r="Q27">
        <v>1</v>
      </c>
      <c r="R27">
        <v>0.25</v>
      </c>
      <c r="Y27">
        <f>0.38*150</f>
        <v>57</v>
      </c>
    </row>
    <row r="28" spans="2:25">
      <c r="B28">
        <v>1767</v>
      </c>
      <c r="E28">
        <v>1</v>
      </c>
      <c r="F28" s="68">
        <v>0.16</v>
      </c>
      <c r="K28" s="70">
        <f>F28</f>
        <v>0.16</v>
      </c>
      <c r="M28">
        <v>1</v>
      </c>
      <c r="N28" s="68">
        <v>0.05</v>
      </c>
      <c r="O28">
        <v>1</v>
      </c>
      <c r="P28">
        <v>1</v>
      </c>
      <c r="Q28">
        <v>3</v>
      </c>
      <c r="R28">
        <v>0.40333333333333332</v>
      </c>
    </row>
    <row r="29" spans="2:25">
      <c r="B29">
        <v>1769</v>
      </c>
      <c r="I29">
        <v>1</v>
      </c>
      <c r="J29" s="68">
        <v>7.0000000000000007E-2</v>
      </c>
      <c r="K29" s="70">
        <f>J29</f>
        <v>7.0000000000000007E-2</v>
      </c>
      <c r="M29">
        <v>1</v>
      </c>
      <c r="N29" s="68">
        <v>0.05</v>
      </c>
      <c r="Q29">
        <v>2</v>
      </c>
      <c r="R29">
        <v>6.0000000000000005E-2</v>
      </c>
    </row>
    <row r="30" spans="2:25">
      <c r="B30">
        <v>1772</v>
      </c>
      <c r="M30">
        <v>1</v>
      </c>
      <c r="N30" s="68">
        <v>0.08</v>
      </c>
      <c r="Q30">
        <v>1</v>
      </c>
      <c r="R30">
        <v>0.08</v>
      </c>
    </row>
    <row r="31" spans="2:25">
      <c r="B31">
        <v>1773</v>
      </c>
      <c r="E31">
        <v>1</v>
      </c>
      <c r="F31" s="68">
        <v>0.26650000000000001</v>
      </c>
      <c r="K31" s="70">
        <f>F31</f>
        <v>0.26650000000000001</v>
      </c>
      <c r="Q31">
        <v>1</v>
      </c>
      <c r="R31">
        <v>0.26650000000000001</v>
      </c>
    </row>
    <row r="32" spans="2:25">
      <c r="B32">
        <v>1776</v>
      </c>
      <c r="M32">
        <v>1</v>
      </c>
      <c r="N32" s="68">
        <v>0.2</v>
      </c>
      <c r="Q32">
        <v>1</v>
      </c>
      <c r="R32">
        <v>0.2</v>
      </c>
    </row>
    <row r="33" spans="2:18">
      <c r="B33">
        <v>1777</v>
      </c>
      <c r="E33">
        <v>1</v>
      </c>
      <c r="F33" s="68">
        <v>0.45305000000000001</v>
      </c>
      <c r="I33">
        <v>1</v>
      </c>
      <c r="J33" s="68">
        <v>0.03</v>
      </c>
      <c r="K33" s="70">
        <f>(F33+J33)/2</f>
        <v>0.24152499999999999</v>
      </c>
      <c r="M33">
        <v>3</v>
      </c>
      <c r="N33" s="68">
        <v>0.17666666666666667</v>
      </c>
      <c r="Q33">
        <v>5</v>
      </c>
      <c r="R33">
        <v>0.20260999999999996</v>
      </c>
    </row>
    <row r="34" spans="2:18">
      <c r="B34">
        <v>1778</v>
      </c>
      <c r="E34">
        <v>1</v>
      </c>
      <c r="F34" s="68">
        <v>0.45305000000000001</v>
      </c>
      <c r="K34" s="70">
        <f>F34</f>
        <v>0.45305000000000001</v>
      </c>
      <c r="M34">
        <v>16</v>
      </c>
      <c r="N34" s="68">
        <v>0.15846874999999996</v>
      </c>
      <c r="Q34">
        <v>17</v>
      </c>
      <c r="R34">
        <v>0.17579705882352939</v>
      </c>
    </row>
    <row r="35" spans="2:18">
      <c r="B35">
        <v>1779</v>
      </c>
      <c r="E35">
        <v>4</v>
      </c>
      <c r="F35" s="68">
        <v>0.36909999999999998</v>
      </c>
      <c r="I35">
        <v>6</v>
      </c>
      <c r="J35" s="68">
        <v>0.28833333333333333</v>
      </c>
      <c r="K35" s="70">
        <f>(F35+J35)/2</f>
        <v>0.32871666666666666</v>
      </c>
      <c r="M35">
        <v>21</v>
      </c>
      <c r="N35" s="68">
        <v>0.12999999999999998</v>
      </c>
      <c r="Q35">
        <v>31</v>
      </c>
      <c r="R35">
        <v>0.19149677419354846</v>
      </c>
    </row>
    <row r="36" spans="2:18">
      <c r="B36">
        <v>1780</v>
      </c>
      <c r="E36">
        <v>1</v>
      </c>
      <c r="F36" s="68">
        <v>0.44772000000000001</v>
      </c>
      <c r="I36">
        <v>3</v>
      </c>
      <c r="J36" s="68">
        <v>0.18333333333333335</v>
      </c>
      <c r="K36" s="70">
        <f>(F36+J36)/2</f>
        <v>0.31552666666666668</v>
      </c>
      <c r="M36">
        <v>9</v>
      </c>
      <c r="N36" s="68">
        <v>0.14466666666666667</v>
      </c>
      <c r="Q36">
        <v>13</v>
      </c>
      <c r="R36">
        <v>0.17690153846153847</v>
      </c>
    </row>
    <row r="37" spans="2:18">
      <c r="B37">
        <v>1781</v>
      </c>
      <c r="E37">
        <v>1</v>
      </c>
      <c r="F37" s="68">
        <v>0.44772000000000001</v>
      </c>
      <c r="K37" s="70">
        <f>F37</f>
        <v>0.44772000000000001</v>
      </c>
      <c r="Q37">
        <v>1</v>
      </c>
      <c r="R37">
        <v>0.44772000000000001</v>
      </c>
    </row>
    <row r="38" spans="2:18">
      <c r="B38">
        <v>1784</v>
      </c>
      <c r="M38">
        <v>6</v>
      </c>
      <c r="N38" s="68">
        <v>0.14083333333333334</v>
      </c>
      <c r="Q38">
        <v>6</v>
      </c>
      <c r="R38">
        <v>0.14083333333333334</v>
      </c>
    </row>
    <row r="39" spans="2:18">
      <c r="B39">
        <v>1785</v>
      </c>
      <c r="M39">
        <v>7</v>
      </c>
      <c r="N39" s="68">
        <v>0.13571428571428573</v>
      </c>
      <c r="Q39">
        <v>7</v>
      </c>
      <c r="R39">
        <v>0.13571428571428573</v>
      </c>
    </row>
    <row r="40" spans="2:18">
      <c r="B40">
        <v>1786</v>
      </c>
      <c r="M40">
        <v>2</v>
      </c>
      <c r="N40" s="68">
        <v>0.1</v>
      </c>
      <c r="Q40">
        <v>2</v>
      </c>
      <c r="R40">
        <v>0.1</v>
      </c>
    </row>
    <row r="41" spans="2:18">
      <c r="B41">
        <v>1787</v>
      </c>
      <c r="M41">
        <v>3</v>
      </c>
      <c r="N41" s="68">
        <v>0.18333333333333335</v>
      </c>
      <c r="Q41">
        <v>3</v>
      </c>
      <c r="R41">
        <v>0.18333333333333335</v>
      </c>
    </row>
    <row r="42" spans="2:18">
      <c r="B42">
        <v>1788</v>
      </c>
      <c r="M42">
        <v>3</v>
      </c>
      <c r="N42" s="68">
        <v>0.14083333333333334</v>
      </c>
      <c r="Q42">
        <v>3</v>
      </c>
      <c r="R42">
        <v>0.14083333333333334</v>
      </c>
    </row>
    <row r="43" spans="2:18">
      <c r="B43">
        <v>1789</v>
      </c>
      <c r="E43">
        <v>1</v>
      </c>
      <c r="F43" s="68">
        <v>0.25</v>
      </c>
      <c r="K43" s="70">
        <f>F43</f>
        <v>0.25</v>
      </c>
      <c r="M43">
        <v>2</v>
      </c>
      <c r="N43" s="68">
        <v>0.16499999999999998</v>
      </c>
      <c r="Q43">
        <v>3</v>
      </c>
      <c r="R43">
        <v>0.19333333333333336</v>
      </c>
    </row>
    <row r="44" spans="2:18">
      <c r="B44">
        <v>1790</v>
      </c>
      <c r="I44">
        <v>6</v>
      </c>
      <c r="J44" s="68">
        <v>0.48333333333333339</v>
      </c>
      <c r="K44" s="70">
        <f>J44</f>
        <v>0.48333333333333339</v>
      </c>
      <c r="M44">
        <v>8</v>
      </c>
      <c r="N44" s="68">
        <v>0.170375</v>
      </c>
      <c r="O44">
        <v>4</v>
      </c>
      <c r="P44">
        <v>0.4</v>
      </c>
      <c r="Q44">
        <v>18</v>
      </c>
      <c r="R44">
        <v>0.32572222222222236</v>
      </c>
    </row>
    <row r="45" spans="2:18">
      <c r="B45">
        <v>1791</v>
      </c>
      <c r="E45">
        <v>1</v>
      </c>
      <c r="F45" s="68">
        <v>0.40508000000000005</v>
      </c>
      <c r="K45" s="70">
        <f>F45</f>
        <v>0.40508000000000005</v>
      </c>
      <c r="Q45">
        <v>1</v>
      </c>
      <c r="R45">
        <v>0.40508000000000005</v>
      </c>
    </row>
    <row r="46" spans="2:18">
      <c r="B46">
        <v>1793</v>
      </c>
      <c r="M46">
        <v>3</v>
      </c>
      <c r="N46" s="68">
        <v>0.11166666666666665</v>
      </c>
      <c r="Q46">
        <v>3</v>
      </c>
      <c r="R46">
        <v>0.11166666666666665</v>
      </c>
    </row>
    <row r="47" spans="2:18">
      <c r="B47">
        <v>1794</v>
      </c>
      <c r="E47">
        <v>3</v>
      </c>
      <c r="F47" s="68">
        <v>0.158</v>
      </c>
      <c r="I47">
        <v>2</v>
      </c>
      <c r="J47" s="68">
        <v>0.15</v>
      </c>
      <c r="K47" s="70">
        <f>(F47+J47)/2</f>
        <v>0.154</v>
      </c>
      <c r="M47">
        <v>2</v>
      </c>
      <c r="N47" s="68">
        <v>0.25</v>
      </c>
      <c r="Q47">
        <v>8</v>
      </c>
      <c r="R47">
        <v>0.14500000000000002</v>
      </c>
    </row>
    <row r="48" spans="2:18">
      <c r="B48">
        <v>1795</v>
      </c>
      <c r="E48">
        <v>3</v>
      </c>
      <c r="F48" s="68">
        <v>0.185</v>
      </c>
      <c r="K48" s="70">
        <v>0.1</v>
      </c>
      <c r="Q48">
        <v>5</v>
      </c>
      <c r="R48">
        <v>9.6000000000000002E-2</v>
      </c>
    </row>
    <row r="49" spans="1:18">
      <c r="B49">
        <v>1796</v>
      </c>
      <c r="E49">
        <v>1</v>
      </c>
      <c r="F49" s="68">
        <v>0.3</v>
      </c>
      <c r="I49">
        <v>1</v>
      </c>
      <c r="J49" s="68">
        <v>0.8</v>
      </c>
      <c r="K49" s="70">
        <f>(F49+J49)/2</f>
        <v>0.55000000000000004</v>
      </c>
      <c r="M49">
        <v>1</v>
      </c>
      <c r="N49" s="68">
        <v>0.25</v>
      </c>
      <c r="Q49">
        <v>3</v>
      </c>
      <c r="R49">
        <v>0.45</v>
      </c>
    </row>
    <row r="50" spans="1:18">
      <c r="B50">
        <v>1797</v>
      </c>
      <c r="E50">
        <v>4</v>
      </c>
      <c r="F50" s="68">
        <v>0.23</v>
      </c>
      <c r="K50" s="70">
        <v>0.21</v>
      </c>
      <c r="Q50">
        <v>6</v>
      </c>
      <c r="R50">
        <v>0.17238666666666666</v>
      </c>
    </row>
    <row r="51" spans="1:18">
      <c r="B51">
        <v>1798</v>
      </c>
      <c r="E51">
        <v>3</v>
      </c>
      <c r="F51" s="68">
        <v>0.15</v>
      </c>
      <c r="I51">
        <v>2</v>
      </c>
      <c r="K51" s="70">
        <f>(F51+J51)/2</f>
        <v>7.4999999999999997E-2</v>
      </c>
      <c r="M51">
        <v>1</v>
      </c>
      <c r="N51" s="68">
        <v>0.1</v>
      </c>
      <c r="Q51">
        <v>6</v>
      </c>
      <c r="R51">
        <v>9.6666666666666665E-2</v>
      </c>
    </row>
    <row r="52" spans="1:18" ht="15.75">
      <c r="B52" s="78">
        <v>1800</v>
      </c>
      <c r="E52">
        <v>1</v>
      </c>
      <c r="F52" s="68">
        <v>0.60761999999999994</v>
      </c>
      <c r="K52" s="70">
        <f>F52</f>
        <v>0.60761999999999994</v>
      </c>
      <c r="M52">
        <v>8</v>
      </c>
      <c r="N52" s="68">
        <v>0.22750000000000004</v>
      </c>
      <c r="Q52">
        <v>9</v>
      </c>
      <c r="R52">
        <v>0.26973555555555556</v>
      </c>
    </row>
    <row r="53" spans="1:18" ht="15.75">
      <c r="B53" s="78">
        <v>1801</v>
      </c>
    </row>
    <row r="54" spans="1:18" ht="15.75">
      <c r="B54" s="78">
        <v>1802</v>
      </c>
    </row>
    <row r="55" spans="1:18" ht="15.75">
      <c r="B55" s="78">
        <v>1803</v>
      </c>
    </row>
    <row r="56" spans="1:18" ht="15.75">
      <c r="B56" s="79">
        <v>1804</v>
      </c>
    </row>
    <row r="57" spans="1:18" ht="15.75">
      <c r="A57" t="s">
        <v>335</v>
      </c>
      <c r="B57" s="78">
        <v>1805</v>
      </c>
    </row>
    <row r="58" spans="1:18" ht="15.75">
      <c r="A58" s="66" t="s">
        <v>477</v>
      </c>
      <c r="B58" s="98">
        <v>1806</v>
      </c>
      <c r="J58" s="68">
        <v>0.55000000000000004</v>
      </c>
      <c r="N58" s="68">
        <v>0.4</v>
      </c>
    </row>
    <row r="59" spans="1:18" ht="15.75">
      <c r="A59" s="66" t="s">
        <v>478</v>
      </c>
      <c r="B59" s="98">
        <v>1807</v>
      </c>
    </row>
    <row r="60" spans="1:18" ht="15.75">
      <c r="A60" s="66" t="s">
        <v>479</v>
      </c>
      <c r="B60" s="98">
        <v>1808</v>
      </c>
    </row>
    <row r="61" spans="1:18" ht="15.75">
      <c r="A61" s="66" t="s">
        <v>480</v>
      </c>
      <c r="B61" s="98">
        <v>1809</v>
      </c>
      <c r="F61" s="68">
        <v>1.35</v>
      </c>
    </row>
    <row r="62" spans="1:18" ht="15.75">
      <c r="A62" s="66" t="s">
        <v>481</v>
      </c>
      <c r="B62" s="98">
        <v>1810</v>
      </c>
      <c r="H62">
        <v>1.35</v>
      </c>
      <c r="J62" s="68">
        <v>1.4</v>
      </c>
    </row>
    <row r="63" spans="1:18" ht="15.75">
      <c r="A63" s="66" t="s">
        <v>482</v>
      </c>
      <c r="B63" s="98">
        <v>1811</v>
      </c>
    </row>
    <row r="64" spans="1:18" ht="15.75">
      <c r="A64" s="66" t="s">
        <v>483</v>
      </c>
      <c r="B64" s="98">
        <v>1812</v>
      </c>
    </row>
    <row r="65" spans="1:14" ht="15.75">
      <c r="A65" s="66" t="s">
        <v>484</v>
      </c>
      <c r="B65" s="98">
        <v>1813</v>
      </c>
    </row>
    <row r="66" spans="1:14" ht="15.75">
      <c r="A66" s="66" t="s">
        <v>485</v>
      </c>
      <c r="B66" s="98">
        <v>1814</v>
      </c>
    </row>
    <row r="67" spans="1:14" ht="15.75">
      <c r="A67" s="66" t="s">
        <v>486</v>
      </c>
      <c r="B67" s="98">
        <v>1815</v>
      </c>
      <c r="J67" s="68">
        <v>2.5</v>
      </c>
      <c r="N67" s="68">
        <v>1.86</v>
      </c>
    </row>
    <row r="68" spans="1:14">
      <c r="A68" s="66" t="s">
        <v>487</v>
      </c>
    </row>
    <row r="69" spans="1:14">
      <c r="A69" s="66" t="s">
        <v>488</v>
      </c>
    </row>
    <row r="70" spans="1:14">
      <c r="A70" s="66" t="s">
        <v>489</v>
      </c>
    </row>
    <row r="71" spans="1:14">
      <c r="A71" s="66" t="s">
        <v>490</v>
      </c>
    </row>
    <row r="72" spans="1:14">
      <c r="A72" s="66" t="s">
        <v>491</v>
      </c>
    </row>
    <row r="73" spans="1:14">
      <c r="A73" s="66" t="s">
        <v>492</v>
      </c>
    </row>
    <row r="74" spans="1:14">
      <c r="A74" s="66" t="s">
        <v>493</v>
      </c>
    </row>
    <row r="75" spans="1:14">
      <c r="A75" s="66" t="s">
        <v>494</v>
      </c>
    </row>
    <row r="76" spans="1:14">
      <c r="A76" s="66" t="s">
        <v>495</v>
      </c>
    </row>
    <row r="77" spans="1:14">
      <c r="A77" s="66" t="s">
        <v>496</v>
      </c>
    </row>
    <row r="78" spans="1:14">
      <c r="A78" s="66" t="s">
        <v>497</v>
      </c>
    </row>
    <row r="79" spans="1:14">
      <c r="A79" s="66" t="s">
        <v>498</v>
      </c>
    </row>
    <row r="80" spans="1:14">
      <c r="A80" s="66" t="s">
        <v>499</v>
      </c>
    </row>
    <row r="81" spans="1:1">
      <c r="A81" s="66" t="s">
        <v>500</v>
      </c>
    </row>
    <row r="82" spans="1:1">
      <c r="A82" s="66" t="s">
        <v>501</v>
      </c>
    </row>
    <row r="83" spans="1:1">
      <c r="A83" s="66" t="s">
        <v>502</v>
      </c>
    </row>
    <row r="84" spans="1:1">
      <c r="A84" s="66" t="s">
        <v>503</v>
      </c>
    </row>
    <row r="85" spans="1:1">
      <c r="A85" s="66" t="s">
        <v>504</v>
      </c>
    </row>
    <row r="86" spans="1:1">
      <c r="A86" s="66" t="s">
        <v>505</v>
      </c>
    </row>
    <row r="87" spans="1:1">
      <c r="A87" s="66" t="s">
        <v>506</v>
      </c>
    </row>
    <row r="88" spans="1:1">
      <c r="A88" s="66" t="s">
        <v>507</v>
      </c>
    </row>
    <row r="89" spans="1:1">
      <c r="A89" s="66" t="s">
        <v>508</v>
      </c>
    </row>
    <row r="90" spans="1:1">
      <c r="A90" s="66" t="s">
        <v>509</v>
      </c>
    </row>
    <row r="91" spans="1:1">
      <c r="A91" s="66" t="s">
        <v>510</v>
      </c>
    </row>
    <row r="92" spans="1:1">
      <c r="A92" s="66" t="s">
        <v>511</v>
      </c>
    </row>
    <row r="93" spans="1:1">
      <c r="A93" s="66" t="s">
        <v>512</v>
      </c>
    </row>
    <row r="94" spans="1:1">
      <c r="A94" s="66" t="s">
        <v>513</v>
      </c>
    </row>
    <row r="95" spans="1:1">
      <c r="A95" s="66" t="s">
        <v>514</v>
      </c>
    </row>
    <row r="96" spans="1:1">
      <c r="A96" s="66" t="s">
        <v>515</v>
      </c>
    </row>
    <row r="97" spans="1:1">
      <c r="A97" s="66" t="s">
        <v>516</v>
      </c>
    </row>
    <row r="98" spans="1:1">
      <c r="A98" s="66" t="s">
        <v>517</v>
      </c>
    </row>
    <row r="99" spans="1:1">
      <c r="A99" s="66" t="s">
        <v>518</v>
      </c>
    </row>
    <row r="100" spans="1:1">
      <c r="A100" s="66" t="s">
        <v>519</v>
      </c>
    </row>
    <row r="101" spans="1:1">
      <c r="A101" s="66" t="s">
        <v>520</v>
      </c>
    </row>
    <row r="102" spans="1:1">
      <c r="A102" s="66" t="s">
        <v>521</v>
      </c>
    </row>
    <row r="103" spans="1:1">
      <c r="A103" s="66" t="s">
        <v>522</v>
      </c>
    </row>
    <row r="104" spans="1:1">
      <c r="A104" s="66" t="s">
        <v>523</v>
      </c>
    </row>
    <row r="105" spans="1:1">
      <c r="A105" s="66" t="s">
        <v>524</v>
      </c>
    </row>
    <row r="106" spans="1:1">
      <c r="A106" s="66" t="s">
        <v>525</v>
      </c>
    </row>
    <row r="107" spans="1:1">
      <c r="A107" s="66" t="s">
        <v>526</v>
      </c>
    </row>
    <row r="108" spans="1:1">
      <c r="A108" s="66" t="s">
        <v>527</v>
      </c>
    </row>
    <row r="109" spans="1:1">
      <c r="A109" s="66" t="s">
        <v>528</v>
      </c>
    </row>
    <row r="110" spans="1:1">
      <c r="A110" s="66" t="s">
        <v>529</v>
      </c>
    </row>
    <row r="111" spans="1:1">
      <c r="A111" s="66" t="s">
        <v>530</v>
      </c>
    </row>
    <row r="112" spans="1:1">
      <c r="A112" s="66" t="s">
        <v>531</v>
      </c>
    </row>
    <row r="113" spans="1:1">
      <c r="A113" s="66" t="s">
        <v>532</v>
      </c>
    </row>
    <row r="114" spans="1:1">
      <c r="A114" s="66" t="s">
        <v>356</v>
      </c>
    </row>
    <row r="115" spans="1:1">
      <c r="A115" s="66" t="s">
        <v>357</v>
      </c>
    </row>
    <row r="116" spans="1:1">
      <c r="A116" s="66" t="s">
        <v>360</v>
      </c>
    </row>
    <row r="117" spans="1:1">
      <c r="A117" s="66" t="s">
        <v>361</v>
      </c>
    </row>
    <row r="118" spans="1:1">
      <c r="A118" s="66" t="s">
        <v>362</v>
      </c>
    </row>
    <row r="119" spans="1:1">
      <c r="A119" s="66" t="s">
        <v>390</v>
      </c>
    </row>
    <row r="120" spans="1:1">
      <c r="A120" s="66" t="s">
        <v>363</v>
      </c>
    </row>
    <row r="121" spans="1:1">
      <c r="A121" s="66" t="s">
        <v>364</v>
      </c>
    </row>
    <row r="122" spans="1:1">
      <c r="A122" s="66" t="s">
        <v>391</v>
      </c>
    </row>
    <row r="123" spans="1:1">
      <c r="A123" s="66" t="s">
        <v>533</v>
      </c>
    </row>
    <row r="124" spans="1:1">
      <c r="A124" s="66" t="s">
        <v>534</v>
      </c>
    </row>
    <row r="125" spans="1:1">
      <c r="A125" s="66" t="s">
        <v>535</v>
      </c>
    </row>
    <row r="126" spans="1:1">
      <c r="A126" s="66" t="s">
        <v>536</v>
      </c>
    </row>
    <row r="127" spans="1:1">
      <c r="A127" s="66" t="s">
        <v>537</v>
      </c>
    </row>
    <row r="128" spans="1:1">
      <c r="A128" s="66" t="s">
        <v>538</v>
      </c>
    </row>
    <row r="129" spans="1:1">
      <c r="A129" s="66" t="s">
        <v>539</v>
      </c>
    </row>
    <row r="130" spans="1:1">
      <c r="A130" s="66" t="s">
        <v>540</v>
      </c>
    </row>
    <row r="131" spans="1:1">
      <c r="A131" s="66" t="s">
        <v>541</v>
      </c>
    </row>
    <row r="132" spans="1:1">
      <c r="A132" s="66" t="s">
        <v>542</v>
      </c>
    </row>
    <row r="133" spans="1:1">
      <c r="A133" s="66" t="s">
        <v>543</v>
      </c>
    </row>
    <row r="134" spans="1:1">
      <c r="A134" s="66" t="s">
        <v>544</v>
      </c>
    </row>
    <row r="135" spans="1:1">
      <c r="A135" s="66" t="s">
        <v>545</v>
      </c>
    </row>
    <row r="136" spans="1:1">
      <c r="A136" s="66" t="s">
        <v>546</v>
      </c>
    </row>
    <row r="137" spans="1:1">
      <c r="A137" s="66" t="s">
        <v>547</v>
      </c>
    </row>
    <row r="138" spans="1:1">
      <c r="A138" s="66" t="s">
        <v>548</v>
      </c>
    </row>
    <row r="139" spans="1:1">
      <c r="A139" s="66" t="s">
        <v>549</v>
      </c>
    </row>
    <row r="140" spans="1:1">
      <c r="A140" s="66" t="s">
        <v>550</v>
      </c>
    </row>
    <row r="141" spans="1:1">
      <c r="A141" s="66" t="s">
        <v>551</v>
      </c>
    </row>
    <row r="142" spans="1:1">
      <c r="A142" s="66" t="s">
        <v>552</v>
      </c>
    </row>
    <row r="143" spans="1:1">
      <c r="A143" s="66" t="s">
        <v>553</v>
      </c>
    </row>
    <row r="144" spans="1:1">
      <c r="A144" s="66" t="s">
        <v>554</v>
      </c>
    </row>
    <row r="145" spans="1:1">
      <c r="A145" s="66" t="s">
        <v>555</v>
      </c>
    </row>
    <row r="146" spans="1:1">
      <c r="A146" s="66" t="s">
        <v>556</v>
      </c>
    </row>
    <row r="147" spans="1:1">
      <c r="A147" s="66" t="s">
        <v>557</v>
      </c>
    </row>
    <row r="148" spans="1:1">
      <c r="A148" s="66" t="s">
        <v>417</v>
      </c>
    </row>
    <row r="149" spans="1:1">
      <c r="A149" s="66" t="s">
        <v>477</v>
      </c>
    </row>
    <row r="150" spans="1:1">
      <c r="A150" s="66" t="s">
        <v>478</v>
      </c>
    </row>
    <row r="151" spans="1:1">
      <c r="A151" s="66" t="s">
        <v>479</v>
      </c>
    </row>
    <row r="152" spans="1:1">
      <c r="A152" s="66" t="s">
        <v>480</v>
      </c>
    </row>
    <row r="153" spans="1:1">
      <c r="A153" s="66" t="s">
        <v>481</v>
      </c>
    </row>
    <row r="154" spans="1:1">
      <c r="A154" s="66" t="s">
        <v>482</v>
      </c>
    </row>
    <row r="155" spans="1:1">
      <c r="A155" s="66" t="s">
        <v>483</v>
      </c>
    </row>
    <row r="156" spans="1:1">
      <c r="A156" s="66" t="s">
        <v>484</v>
      </c>
    </row>
    <row r="157" spans="1:1">
      <c r="A157" s="66" t="s">
        <v>485</v>
      </c>
    </row>
    <row r="158" spans="1:1">
      <c r="A158" s="66" t="s">
        <v>486</v>
      </c>
    </row>
    <row r="159" spans="1:1">
      <c r="A159" s="66" t="s">
        <v>487</v>
      </c>
    </row>
    <row r="160" spans="1:1">
      <c r="A160" s="66" t="s">
        <v>488</v>
      </c>
    </row>
    <row r="161" spans="1:1">
      <c r="A161" s="66" t="s">
        <v>489</v>
      </c>
    </row>
    <row r="162" spans="1:1">
      <c r="A162" s="66" t="s">
        <v>490</v>
      </c>
    </row>
    <row r="163" spans="1:1">
      <c r="A163" s="66" t="s">
        <v>491</v>
      </c>
    </row>
    <row r="164" spans="1:1">
      <c r="A164" s="66" t="s">
        <v>492</v>
      </c>
    </row>
    <row r="165" spans="1:1">
      <c r="A165" s="66" t="s">
        <v>493</v>
      </c>
    </row>
    <row r="166" spans="1:1">
      <c r="A166" s="66" t="s">
        <v>494</v>
      </c>
    </row>
    <row r="167" spans="1:1">
      <c r="A167" s="66" t="s">
        <v>495</v>
      </c>
    </row>
    <row r="168" spans="1:1">
      <c r="A168" s="66" t="s">
        <v>496</v>
      </c>
    </row>
    <row r="169" spans="1:1">
      <c r="A169" s="66" t="s">
        <v>497</v>
      </c>
    </row>
    <row r="170" spans="1:1">
      <c r="A170" s="66" t="s">
        <v>498</v>
      </c>
    </row>
    <row r="171" spans="1:1">
      <c r="A171" s="66" t="s">
        <v>499</v>
      </c>
    </row>
    <row r="172" spans="1:1">
      <c r="A172" s="66" t="s">
        <v>500</v>
      </c>
    </row>
    <row r="173" spans="1:1">
      <c r="A173" s="66" t="s">
        <v>501</v>
      </c>
    </row>
    <row r="174" spans="1:1">
      <c r="A174" s="66" t="s">
        <v>502</v>
      </c>
    </row>
    <row r="175" spans="1:1">
      <c r="A175" s="66" t="s">
        <v>503</v>
      </c>
    </row>
    <row r="176" spans="1:1">
      <c r="A176" s="66" t="s">
        <v>504</v>
      </c>
    </row>
    <row r="177" spans="1:1">
      <c r="A177" s="66" t="s">
        <v>505</v>
      </c>
    </row>
    <row r="178" spans="1:1">
      <c r="A178" s="66" t="s">
        <v>506</v>
      </c>
    </row>
    <row r="179" spans="1:1">
      <c r="A179" s="66" t="s">
        <v>507</v>
      </c>
    </row>
    <row r="180" spans="1:1">
      <c r="A180" s="66" t="s">
        <v>508</v>
      </c>
    </row>
    <row r="181" spans="1:1">
      <c r="A181" s="66" t="s">
        <v>509</v>
      </c>
    </row>
    <row r="182" spans="1:1">
      <c r="A182" s="66" t="s">
        <v>510</v>
      </c>
    </row>
    <row r="183" spans="1:1">
      <c r="A183" s="66" t="s">
        <v>511</v>
      </c>
    </row>
    <row r="184" spans="1:1">
      <c r="A184" s="66" t="s">
        <v>512</v>
      </c>
    </row>
    <row r="185" spans="1:1">
      <c r="A185" s="66" t="s">
        <v>513</v>
      </c>
    </row>
    <row r="186" spans="1:1">
      <c r="A186" s="66" t="s">
        <v>514</v>
      </c>
    </row>
    <row r="187" spans="1:1">
      <c r="A187" s="66" t="s">
        <v>515</v>
      </c>
    </row>
    <row r="188" spans="1:1">
      <c r="A188" s="66" t="s">
        <v>516</v>
      </c>
    </row>
    <row r="189" spans="1:1">
      <c r="A189" s="66" t="s">
        <v>517</v>
      </c>
    </row>
    <row r="190" spans="1:1">
      <c r="A190" s="66" t="s">
        <v>518</v>
      </c>
    </row>
    <row r="191" spans="1:1">
      <c r="A191" s="66" t="s">
        <v>519</v>
      </c>
    </row>
    <row r="192" spans="1:1">
      <c r="A192" s="66" t="s">
        <v>520</v>
      </c>
    </row>
    <row r="193" spans="1:1">
      <c r="A193" s="66" t="s">
        <v>521</v>
      </c>
    </row>
    <row r="194" spans="1:1">
      <c r="A194" s="66" t="s">
        <v>522</v>
      </c>
    </row>
    <row r="195" spans="1:1">
      <c r="A195" s="66" t="s">
        <v>523</v>
      </c>
    </row>
    <row r="196" spans="1:1">
      <c r="A196" s="66" t="s">
        <v>524</v>
      </c>
    </row>
    <row r="197" spans="1:1">
      <c r="A197" s="66" t="s">
        <v>525</v>
      </c>
    </row>
    <row r="198" spans="1:1">
      <c r="A198" s="66" t="s">
        <v>526</v>
      </c>
    </row>
    <row r="199" spans="1:1">
      <c r="A199" s="66" t="s">
        <v>527</v>
      </c>
    </row>
    <row r="200" spans="1:1">
      <c r="A200" s="66" t="s">
        <v>528</v>
      </c>
    </row>
    <row r="201" spans="1:1">
      <c r="A201" s="66" t="s">
        <v>529</v>
      </c>
    </row>
    <row r="202" spans="1:1">
      <c r="A202" s="66" t="s">
        <v>530</v>
      </c>
    </row>
    <row r="203" spans="1:1">
      <c r="A203" s="66" t="s">
        <v>531</v>
      </c>
    </row>
    <row r="204" spans="1:1">
      <c r="A204" s="66" t="s">
        <v>532</v>
      </c>
    </row>
    <row r="205" spans="1:1">
      <c r="A205" s="66" t="s">
        <v>356</v>
      </c>
    </row>
    <row r="206" spans="1:1">
      <c r="A206" s="66" t="s">
        <v>357</v>
      </c>
    </row>
    <row r="207" spans="1:1">
      <c r="A207" s="66" t="s">
        <v>360</v>
      </c>
    </row>
    <row r="208" spans="1:1">
      <c r="A208" s="66" t="s">
        <v>361</v>
      </c>
    </row>
    <row r="209" spans="1:1">
      <c r="A209" s="66" t="s">
        <v>362</v>
      </c>
    </row>
    <row r="210" spans="1:1">
      <c r="A210" s="66" t="s">
        <v>390</v>
      </c>
    </row>
    <row r="211" spans="1:1">
      <c r="A211" s="66" t="s">
        <v>363</v>
      </c>
    </row>
    <row r="212" spans="1:1">
      <c r="A212" s="66" t="s">
        <v>364</v>
      </c>
    </row>
    <row r="213" spans="1:1">
      <c r="A213" s="66" t="s">
        <v>391</v>
      </c>
    </row>
    <row r="214" spans="1:1">
      <c r="A214" s="66" t="s">
        <v>533</v>
      </c>
    </row>
    <row r="215" spans="1:1">
      <c r="A215" s="66" t="s">
        <v>534</v>
      </c>
    </row>
    <row r="216" spans="1:1">
      <c r="A216" s="66" t="s">
        <v>535</v>
      </c>
    </row>
    <row r="217" spans="1:1">
      <c r="A217" s="66" t="s">
        <v>536</v>
      </c>
    </row>
    <row r="218" spans="1:1">
      <c r="A218" s="66" t="s">
        <v>537</v>
      </c>
    </row>
    <row r="219" spans="1:1">
      <c r="A219" s="66" t="s">
        <v>538</v>
      </c>
    </row>
    <row r="220" spans="1:1">
      <c r="A220" s="66" t="s">
        <v>539</v>
      </c>
    </row>
    <row r="221" spans="1:1">
      <c r="A221" s="66" t="s">
        <v>540</v>
      </c>
    </row>
    <row r="222" spans="1:1">
      <c r="A222" s="66" t="s">
        <v>541</v>
      </c>
    </row>
    <row r="223" spans="1:1">
      <c r="A223" s="66" t="s">
        <v>542</v>
      </c>
    </row>
    <row r="224" spans="1:1">
      <c r="A224" s="66" t="s">
        <v>543</v>
      </c>
    </row>
    <row r="225" spans="1:1">
      <c r="A225" s="66" t="s">
        <v>544</v>
      </c>
    </row>
    <row r="226" spans="1:1">
      <c r="A226" s="66" t="s">
        <v>545</v>
      </c>
    </row>
    <row r="227" spans="1:1">
      <c r="A227" s="66" t="s">
        <v>546</v>
      </c>
    </row>
    <row r="228" spans="1:1">
      <c r="A228" s="66" t="s">
        <v>547</v>
      </c>
    </row>
    <row r="229" spans="1:1">
      <c r="A229" s="66" t="s">
        <v>548</v>
      </c>
    </row>
    <row r="230" spans="1:1">
      <c r="A230" s="66" t="s">
        <v>549</v>
      </c>
    </row>
    <row r="231" spans="1:1">
      <c r="A231" s="66" t="s">
        <v>550</v>
      </c>
    </row>
    <row r="232" spans="1:1">
      <c r="A232" s="66" t="s">
        <v>551</v>
      </c>
    </row>
    <row r="233" spans="1:1">
      <c r="A233" s="66" t="s">
        <v>552</v>
      </c>
    </row>
    <row r="234" spans="1:1">
      <c r="A234" s="66" t="s">
        <v>553</v>
      </c>
    </row>
    <row r="235" spans="1:1">
      <c r="A235" s="66" t="s">
        <v>554</v>
      </c>
    </row>
    <row r="236" spans="1:1">
      <c r="A236" s="66" t="s">
        <v>555</v>
      </c>
    </row>
    <row r="237" spans="1:1">
      <c r="A237" s="66" t="s">
        <v>556</v>
      </c>
    </row>
    <row r="238" spans="1:1">
      <c r="A238" s="66" t="s">
        <v>557</v>
      </c>
    </row>
    <row r="239" spans="1:1">
      <c r="A239" s="6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980A-59FD-4221-ABC3-87DAB7413A35}">
  <dimension ref="A1:E262"/>
  <sheetViews>
    <sheetView workbookViewId="0">
      <pane xSplit="1" ySplit="1" topLeftCell="B159" activePane="bottomRight" state="frozen"/>
      <selection pane="topRight" activeCell="B1" sqref="B1"/>
      <selection pane="bottomLeft" activeCell="A2" sqref="A2"/>
      <selection pane="bottomRight" activeCell="D202" sqref="D202:D227"/>
    </sheetView>
  </sheetViews>
  <sheetFormatPr defaultColWidth="8.73046875" defaultRowHeight="14.25"/>
  <cols>
    <col min="1" max="1" width="8.73046875" style="130"/>
    <col min="2" max="5" width="8.73046875" style="131"/>
    <col min="6" max="16384" width="8.73046875" style="130"/>
  </cols>
  <sheetData>
    <row r="1" spans="1:5">
      <c r="A1" s="130" t="s">
        <v>5</v>
      </c>
      <c r="B1" s="131" t="s">
        <v>327</v>
      </c>
      <c r="C1" s="131" t="s">
        <v>628</v>
      </c>
      <c r="D1" s="131" t="s">
        <v>627</v>
      </c>
      <c r="E1" s="131" t="s">
        <v>629</v>
      </c>
    </row>
    <row r="2" spans="1:5">
      <c r="A2" s="132">
        <v>1600</v>
      </c>
      <c r="B2" s="131">
        <v>0.81476706266403198</v>
      </c>
      <c r="C2" s="131">
        <v>0.67303991317749023</v>
      </c>
      <c r="D2" s="131">
        <v>0.60225874185562134</v>
      </c>
      <c r="E2" s="131">
        <v>0.91989046335220337</v>
      </c>
    </row>
    <row r="3" spans="1:5">
      <c r="A3" s="132">
        <v>1601</v>
      </c>
      <c r="B3" s="131">
        <v>0.78327667713165283</v>
      </c>
      <c r="C3" s="131">
        <v>0.6096954345703125</v>
      </c>
      <c r="D3" s="131">
        <v>0.786518394947052</v>
      </c>
      <c r="E3" s="131">
        <v>0.94331347942352295</v>
      </c>
    </row>
    <row r="4" spans="1:5">
      <c r="A4" s="132">
        <v>1602</v>
      </c>
      <c r="B4" s="131">
        <v>0.72794371843338013</v>
      </c>
      <c r="C4" s="131">
        <v>0.6489601731300354</v>
      </c>
      <c r="D4" s="131">
        <v>0.74168193340301514</v>
      </c>
      <c r="E4" s="131">
        <v>1.0264695882797241</v>
      </c>
    </row>
    <row r="5" spans="1:5">
      <c r="A5" s="132">
        <v>1603</v>
      </c>
      <c r="B5" s="131">
        <v>0.88985377550125122</v>
      </c>
      <c r="C5" s="131">
        <v>0.68620795011520386</v>
      </c>
      <c r="D5" s="131">
        <v>0.80091452598571777</v>
      </c>
      <c r="E5" s="131">
        <v>1.2144862413406372</v>
      </c>
    </row>
    <row r="6" spans="1:5">
      <c r="A6" s="132">
        <v>1604</v>
      </c>
      <c r="B6" s="131">
        <v>0.88261556625366211</v>
      </c>
      <c r="C6" s="131">
        <v>0.63239604234695435</v>
      </c>
      <c r="D6" s="131">
        <v>0.88725161552429199</v>
      </c>
      <c r="E6" s="131">
        <v>1.0970557928085327</v>
      </c>
    </row>
    <row r="7" spans="1:5">
      <c r="A7" s="132">
        <v>1605</v>
      </c>
      <c r="B7" s="131">
        <v>0.90201771259307861</v>
      </c>
      <c r="C7" s="131">
        <v>0.68875384330749512</v>
      </c>
      <c r="D7" s="131">
        <v>1.095605731010437</v>
      </c>
      <c r="E7" s="131">
        <v>1.2336657047271729</v>
      </c>
    </row>
    <row r="8" spans="1:5">
      <c r="A8" s="132">
        <v>1606</v>
      </c>
      <c r="B8" s="131">
        <v>0.71437996625900269</v>
      </c>
      <c r="C8" s="131">
        <v>0.54581594467163086</v>
      </c>
      <c r="D8" s="131">
        <v>0.9839470386505127</v>
      </c>
      <c r="E8" s="131">
        <v>1.167949914932251</v>
      </c>
    </row>
    <row r="9" spans="1:5">
      <c r="A9" s="132">
        <v>1607</v>
      </c>
      <c r="B9" s="131">
        <v>0.97708618640899658</v>
      </c>
      <c r="C9" s="131">
        <v>0.62234187126159668</v>
      </c>
      <c r="D9" s="131">
        <v>0.90470588207244873</v>
      </c>
      <c r="E9" s="131">
        <v>1.030315637588501</v>
      </c>
    </row>
    <row r="10" spans="1:5">
      <c r="A10" s="132">
        <v>1608</v>
      </c>
      <c r="B10" s="131">
        <v>0.86828082799911499</v>
      </c>
      <c r="C10" s="131">
        <v>0.62099218368530273</v>
      </c>
      <c r="D10" s="131">
        <v>0.83038294315338135</v>
      </c>
      <c r="E10" s="131">
        <v>1.0662077665328979</v>
      </c>
    </row>
    <row r="11" spans="1:5">
      <c r="A11" s="132">
        <v>1609</v>
      </c>
      <c r="B11" s="131">
        <v>0.9866795539855957</v>
      </c>
      <c r="C11" s="131">
        <v>0.69916874170303345</v>
      </c>
      <c r="D11" s="131">
        <v>0.77962416410446167</v>
      </c>
      <c r="E11" s="131">
        <v>1.159827709197998</v>
      </c>
    </row>
    <row r="12" spans="1:5">
      <c r="A12" s="132">
        <v>1610</v>
      </c>
      <c r="B12" s="131">
        <v>0.97529792785644531</v>
      </c>
      <c r="C12" s="131">
        <v>0.76809120178222656</v>
      </c>
      <c r="D12" s="131">
        <v>0.91026604175567627</v>
      </c>
      <c r="E12" s="131">
        <v>1.4028187990188599</v>
      </c>
    </row>
    <row r="13" spans="1:5">
      <c r="A13" s="132">
        <v>1611</v>
      </c>
      <c r="B13" s="131">
        <v>0.80636411905288696</v>
      </c>
      <c r="C13" s="131">
        <v>0.75126886367797852</v>
      </c>
      <c r="D13" s="131">
        <v>0.79771780967712402</v>
      </c>
      <c r="E13" s="131">
        <v>1.4337223768234253</v>
      </c>
    </row>
    <row r="14" spans="1:5">
      <c r="A14" s="132">
        <v>1612</v>
      </c>
      <c r="B14" s="131">
        <v>1.007673978805542</v>
      </c>
      <c r="C14" s="131">
        <v>0.73548334836959839</v>
      </c>
      <c r="D14" s="131">
        <v>0.86518579721450806</v>
      </c>
      <c r="E14" s="131">
        <v>1.2665280103683472</v>
      </c>
    </row>
    <row r="15" spans="1:5">
      <c r="A15" s="132">
        <v>1613</v>
      </c>
      <c r="B15" s="131">
        <v>1.0603983402252197</v>
      </c>
      <c r="C15" s="131">
        <v>0.75094151496887207</v>
      </c>
      <c r="D15" s="131">
        <v>0.87038010358810425</v>
      </c>
      <c r="E15" s="131">
        <v>1.1607041358947754</v>
      </c>
    </row>
    <row r="16" spans="1:5">
      <c r="A16" s="132">
        <v>1614</v>
      </c>
      <c r="B16" s="131">
        <v>1.0914453268051147</v>
      </c>
      <c r="C16" s="131">
        <v>0.76570421457290649</v>
      </c>
      <c r="D16" s="131">
        <v>0.77009505033493042</v>
      </c>
      <c r="E16" s="131">
        <v>1.3598870038986206</v>
      </c>
    </row>
    <row r="17" spans="1:5">
      <c r="A17" s="132">
        <v>1615</v>
      </c>
      <c r="B17" s="131">
        <v>0.82281696796417236</v>
      </c>
      <c r="C17" s="131">
        <v>0.81093597412109375</v>
      </c>
      <c r="D17" s="131">
        <v>0.79033809900283813</v>
      </c>
      <c r="E17" s="131">
        <v>1.3408961296081543</v>
      </c>
    </row>
    <row r="18" spans="1:5">
      <c r="A18" s="132">
        <v>1616</v>
      </c>
      <c r="B18" s="131">
        <v>0.77793461084365845</v>
      </c>
      <c r="C18" s="131">
        <v>0.82346737384796143</v>
      </c>
      <c r="D18" s="131">
        <v>0.89846384525299072</v>
      </c>
      <c r="E18" s="131">
        <v>1.2636570930480957</v>
      </c>
    </row>
    <row r="19" spans="1:5">
      <c r="A19" s="132">
        <v>1617</v>
      </c>
      <c r="B19" s="131">
        <v>0.74884605407714844</v>
      </c>
      <c r="C19" s="131">
        <v>0.77272385358810425</v>
      </c>
      <c r="D19" s="131">
        <v>0.76736944913864136</v>
      </c>
      <c r="E19" s="131">
        <v>1.2255903482437134</v>
      </c>
    </row>
    <row r="20" spans="1:5">
      <c r="A20" s="132">
        <v>1618</v>
      </c>
      <c r="B20" s="131">
        <v>0.73508787155151367</v>
      </c>
      <c r="C20" s="131">
        <v>0.68527525663375854</v>
      </c>
      <c r="D20" s="131">
        <v>0.67807507514953613</v>
      </c>
      <c r="E20" s="131">
        <v>1.2068595886230469</v>
      </c>
    </row>
    <row r="21" spans="1:5">
      <c r="A21" s="132">
        <v>1619</v>
      </c>
      <c r="B21" s="131">
        <v>0.74972236156463623</v>
      </c>
      <c r="C21" s="131">
        <v>0.62925100326538086</v>
      </c>
      <c r="D21" s="131">
        <v>0.76467633247375488</v>
      </c>
      <c r="E21" s="131">
        <v>1.3377211093902588</v>
      </c>
    </row>
    <row r="22" spans="1:5">
      <c r="A22" s="132">
        <v>1620</v>
      </c>
      <c r="B22" s="131">
        <v>0.76883113384246826</v>
      </c>
      <c r="C22" s="131">
        <v>0.69779121875762939</v>
      </c>
      <c r="D22" s="131">
        <v>0.7444797158241272</v>
      </c>
      <c r="E22" s="131">
        <v>1.1918383836746216</v>
      </c>
    </row>
    <row r="23" spans="1:5">
      <c r="A23" s="132">
        <v>1621</v>
      </c>
      <c r="B23" s="131">
        <v>0.7697676420211792</v>
      </c>
      <c r="C23" s="131">
        <v>0.72192168235778809</v>
      </c>
      <c r="D23" s="131">
        <v>0.77087026834487915</v>
      </c>
      <c r="E23" s="131">
        <v>1.0040662288665771</v>
      </c>
    </row>
    <row r="24" spans="1:5">
      <c r="A24" s="132">
        <v>1622</v>
      </c>
      <c r="B24" s="131">
        <v>0.69328725337982178</v>
      </c>
      <c r="C24" s="131">
        <v>0.60062307119369507</v>
      </c>
      <c r="D24" s="131">
        <v>0.84464085102081299</v>
      </c>
      <c r="E24" s="131">
        <v>0.99362844228744507</v>
      </c>
    </row>
    <row r="25" spans="1:5">
      <c r="A25" s="132">
        <v>1623</v>
      </c>
      <c r="B25" s="131">
        <v>0.7228052020072937</v>
      </c>
      <c r="C25" s="131">
        <v>0.64691567420959473</v>
      </c>
      <c r="D25" s="131">
        <v>0.92964017391204834</v>
      </c>
      <c r="E25" s="131">
        <v>1.0374883413314819</v>
      </c>
    </row>
    <row r="26" spans="1:5">
      <c r="A26" s="132">
        <v>1624</v>
      </c>
      <c r="B26" s="131">
        <v>0.78038066625595093</v>
      </c>
      <c r="C26" s="131">
        <v>0.64714705944061279</v>
      </c>
      <c r="D26" s="131">
        <v>0.76479434967041016</v>
      </c>
      <c r="E26" s="131">
        <v>1.0426210165023804</v>
      </c>
    </row>
    <row r="27" spans="1:5">
      <c r="A27" s="132">
        <v>1625</v>
      </c>
      <c r="B27" s="131">
        <v>0.61147201061248779</v>
      </c>
      <c r="C27" s="131">
        <v>0.62574446201324463</v>
      </c>
      <c r="D27" s="131">
        <v>0.72205710411071777</v>
      </c>
      <c r="E27" s="131">
        <v>1.0996158123016357</v>
      </c>
    </row>
    <row r="28" spans="1:5">
      <c r="A28" s="132">
        <v>1626</v>
      </c>
      <c r="B28" s="131">
        <v>0.58249449729919434</v>
      </c>
      <c r="C28" s="131">
        <v>0.57414877414703369</v>
      </c>
      <c r="D28" s="131">
        <v>0.75347840785980225</v>
      </c>
      <c r="E28" s="131">
        <v>1.0538560152053833</v>
      </c>
    </row>
    <row r="29" spans="1:5">
      <c r="A29" s="132">
        <v>1627</v>
      </c>
      <c r="B29" s="131">
        <v>0.74020999670028687</v>
      </c>
      <c r="C29" s="131">
        <v>0.71319866180419922</v>
      </c>
      <c r="D29" s="131">
        <v>0.79054290056228638</v>
      </c>
      <c r="E29" s="131">
        <v>1.198486328125</v>
      </c>
    </row>
    <row r="30" spans="1:5">
      <c r="A30" s="132">
        <v>1628</v>
      </c>
      <c r="B30" s="131">
        <v>0.75128251314163208</v>
      </c>
      <c r="C30" s="131">
        <v>0.6122136116027832</v>
      </c>
      <c r="D30" s="131">
        <v>0.80743980407714844</v>
      </c>
      <c r="E30" s="131">
        <v>0.88644129037857056</v>
      </c>
    </row>
    <row r="31" spans="1:5">
      <c r="A31" s="132">
        <v>1629</v>
      </c>
      <c r="B31" s="131">
        <v>0.72177261114120483</v>
      </c>
      <c r="C31" s="131">
        <v>0.59091156721115112</v>
      </c>
      <c r="D31" s="131">
        <v>0.63580930233001709</v>
      </c>
      <c r="E31" s="131">
        <v>0.76534247398376465</v>
      </c>
    </row>
    <row r="32" spans="1:5">
      <c r="A32" s="132">
        <v>1630</v>
      </c>
      <c r="B32" s="131">
        <v>0.57608652114868164</v>
      </c>
      <c r="C32" s="131">
        <v>0.53369617462158203</v>
      </c>
      <c r="D32" s="131">
        <v>0.75296783447265625</v>
      </c>
      <c r="E32" s="131">
        <v>0.84216827154159546</v>
      </c>
    </row>
    <row r="33" spans="1:5">
      <c r="A33" s="132">
        <v>1631</v>
      </c>
      <c r="B33" s="131">
        <v>0.68347948789596558</v>
      </c>
      <c r="C33" s="131">
        <v>0.51907187700271606</v>
      </c>
      <c r="D33" s="131">
        <v>0.84762203693389893</v>
      </c>
      <c r="E33" s="131">
        <v>0.9249226450920105</v>
      </c>
    </row>
    <row r="34" spans="1:5">
      <c r="A34" s="132">
        <v>1632</v>
      </c>
      <c r="B34" s="131">
        <v>0.74394798278808594</v>
      </c>
      <c r="C34" s="131">
        <v>0.56011295318603516</v>
      </c>
      <c r="D34" s="131">
        <v>0.88050550222396851</v>
      </c>
      <c r="E34" s="131">
        <v>1.4330313205718994</v>
      </c>
    </row>
    <row r="35" spans="1:5">
      <c r="A35" s="132">
        <v>1633</v>
      </c>
      <c r="B35" s="131">
        <v>0.99129575490951538</v>
      </c>
      <c r="C35" s="131">
        <v>0.66716820001602173</v>
      </c>
      <c r="D35" s="131">
        <v>0.92955750226974487</v>
      </c>
      <c r="E35" s="131">
        <v>1.458549976348877</v>
      </c>
    </row>
    <row r="36" spans="1:5">
      <c r="A36" s="132">
        <v>1634</v>
      </c>
      <c r="B36" s="131">
        <v>0.9710422158241272</v>
      </c>
      <c r="C36" s="131">
        <v>0.81191438436508179</v>
      </c>
      <c r="D36" s="131">
        <v>0.9679597020149231</v>
      </c>
      <c r="E36" s="131">
        <v>1.8601299524307251</v>
      </c>
    </row>
    <row r="37" spans="1:5">
      <c r="A37" s="132">
        <v>1635</v>
      </c>
      <c r="B37" s="131">
        <v>1.160818338394165</v>
      </c>
      <c r="C37" s="131">
        <v>0.75704288482666016</v>
      </c>
      <c r="D37" s="131">
        <v>0.93898487091064453</v>
      </c>
      <c r="E37" s="131">
        <v>1.7447191476821899</v>
      </c>
    </row>
    <row r="38" spans="1:5">
      <c r="A38" s="132">
        <v>1636</v>
      </c>
      <c r="B38" s="131">
        <v>0.76380741596221924</v>
      </c>
      <c r="C38" s="131">
        <v>0.57983183860778809</v>
      </c>
      <c r="D38" s="131">
        <v>0.6656419038772583</v>
      </c>
      <c r="E38" s="131">
        <v>1.6988866329193115</v>
      </c>
    </row>
    <row r="39" spans="1:5">
      <c r="A39" s="132">
        <v>1637</v>
      </c>
      <c r="B39" s="131">
        <v>0.57800388336181641</v>
      </c>
      <c r="C39" s="131">
        <v>0.55821943283081055</v>
      </c>
      <c r="D39" s="131">
        <v>0.79590177536010742</v>
      </c>
      <c r="E39" s="131">
        <v>1.8405388593673706</v>
      </c>
    </row>
    <row r="40" spans="1:5">
      <c r="A40" s="132">
        <v>1638</v>
      </c>
      <c r="B40" s="131">
        <v>0.82171887159347534</v>
      </c>
      <c r="C40" s="131">
        <v>0.67539483308792114</v>
      </c>
      <c r="D40" s="131">
        <v>0.8292316198348999</v>
      </c>
      <c r="E40" s="131">
        <v>1.9860550165176392</v>
      </c>
    </row>
    <row r="41" spans="1:5">
      <c r="A41" s="132">
        <v>1639</v>
      </c>
      <c r="B41" s="131">
        <v>0.94188821315765381</v>
      </c>
      <c r="C41" s="131">
        <v>0.80549204349517822</v>
      </c>
      <c r="D41" s="131">
        <v>0.81234216690063477</v>
      </c>
      <c r="E41" s="131">
        <v>2.2286665439605713</v>
      </c>
    </row>
    <row r="42" spans="1:5">
      <c r="A42" s="132">
        <v>1640</v>
      </c>
      <c r="B42" s="131">
        <v>1.0477527379989624</v>
      </c>
      <c r="C42" s="131">
        <v>0.8928687572479248</v>
      </c>
      <c r="D42" s="131">
        <v>0.78955578804016113</v>
      </c>
      <c r="E42" s="131">
        <v>2.3304688930511475</v>
      </c>
    </row>
    <row r="43" spans="1:5">
      <c r="A43" s="132">
        <v>1641</v>
      </c>
      <c r="B43" s="131">
        <v>1.0999590158462524</v>
      </c>
      <c r="C43" s="131">
        <v>0.83966004848480225</v>
      </c>
      <c r="D43" s="131">
        <v>0.77948743104934692</v>
      </c>
      <c r="E43" s="131">
        <v>1.9854013919830322</v>
      </c>
    </row>
    <row r="44" spans="1:5">
      <c r="A44" s="132">
        <v>1642</v>
      </c>
      <c r="B44" s="131">
        <v>0.87727802991867065</v>
      </c>
      <c r="C44" s="131">
        <v>0.9374353289604187</v>
      </c>
      <c r="D44" s="131">
        <v>0.8657844066619873</v>
      </c>
      <c r="E44" s="131">
        <v>1.9129629135131836</v>
      </c>
    </row>
    <row r="45" spans="1:5">
      <c r="A45" s="132">
        <v>1643</v>
      </c>
      <c r="B45" s="131">
        <v>0.75586038827896118</v>
      </c>
      <c r="C45" s="131">
        <v>0.81282740831375122</v>
      </c>
      <c r="D45" s="131">
        <v>0.88194936513900757</v>
      </c>
      <c r="E45" s="131">
        <v>1.7747797966003418</v>
      </c>
    </row>
    <row r="46" spans="1:5">
      <c r="A46" s="132">
        <v>1644</v>
      </c>
      <c r="B46" s="131">
        <v>0.72842705249786377</v>
      </c>
      <c r="C46" s="131">
        <v>0.7571103572845459</v>
      </c>
      <c r="D46" s="131">
        <v>0.80991059541702271</v>
      </c>
      <c r="E46" s="131">
        <v>1.6960484981536865</v>
      </c>
    </row>
    <row r="47" spans="1:5">
      <c r="A47" s="132">
        <v>1645</v>
      </c>
      <c r="B47" s="131">
        <v>0.67379456758499146</v>
      </c>
      <c r="C47" s="131">
        <v>0.71583276987075806</v>
      </c>
      <c r="D47" s="131">
        <v>0.93786895275115967</v>
      </c>
      <c r="E47" s="131">
        <v>1.8341143131256104</v>
      </c>
    </row>
    <row r="48" spans="1:5">
      <c r="A48" s="132">
        <v>1646</v>
      </c>
      <c r="B48" s="131">
        <v>0.70376449823379517</v>
      </c>
      <c r="C48" s="131">
        <v>0.83238178491592407</v>
      </c>
      <c r="D48" s="131">
        <v>0.85851079225540161</v>
      </c>
      <c r="E48" s="131">
        <v>1.6799912452697754</v>
      </c>
    </row>
    <row r="49" spans="1:5">
      <c r="A49" s="132">
        <v>1647</v>
      </c>
      <c r="B49" s="131">
        <v>0.62451112270355225</v>
      </c>
      <c r="C49" s="131">
        <v>0.66085034608840942</v>
      </c>
      <c r="D49" s="131">
        <v>0.80197799205780029</v>
      </c>
      <c r="E49" s="131">
        <v>1.4983949661254883</v>
      </c>
    </row>
    <row r="50" spans="1:5">
      <c r="A50" s="132">
        <v>1648</v>
      </c>
      <c r="B50" s="131">
        <v>0.61514967679977417</v>
      </c>
      <c r="C50" s="131">
        <v>0.54743903875350952</v>
      </c>
      <c r="D50" s="131">
        <v>0.70031309127807617</v>
      </c>
      <c r="E50" s="131">
        <v>1.2708852291107178</v>
      </c>
    </row>
    <row r="51" spans="1:5">
      <c r="A51" s="132">
        <v>1649</v>
      </c>
      <c r="B51" s="131">
        <v>0.77376562356948853</v>
      </c>
      <c r="C51" s="131">
        <v>0.57014846801757813</v>
      </c>
      <c r="D51" s="131">
        <v>0.85517019033432007</v>
      </c>
      <c r="E51" s="131">
        <v>1.1019622087478638</v>
      </c>
    </row>
    <row r="52" spans="1:5">
      <c r="A52" s="132">
        <v>1650</v>
      </c>
      <c r="B52" s="131">
        <v>0.64921581745147705</v>
      </c>
      <c r="C52" s="131">
        <v>0.59079724550247192</v>
      </c>
      <c r="D52" s="131">
        <v>0.70984393358230591</v>
      </c>
      <c r="E52" s="131">
        <v>1.1248441934585571</v>
      </c>
    </row>
    <row r="53" spans="1:5">
      <c r="A53" s="132">
        <v>1651</v>
      </c>
      <c r="B53" s="131">
        <v>0.88286805152893066</v>
      </c>
      <c r="C53" s="131">
        <v>0.74425971508026123</v>
      </c>
      <c r="D53" s="131">
        <v>0.80506443977355957</v>
      </c>
      <c r="E53" s="131">
        <v>1.4281922578811646</v>
      </c>
    </row>
    <row r="54" spans="1:5">
      <c r="A54" s="132">
        <v>1652</v>
      </c>
      <c r="B54" s="131">
        <v>0.94388490915298462</v>
      </c>
      <c r="C54" s="131">
        <v>0.77348822355270386</v>
      </c>
      <c r="D54" s="131">
        <v>0.75141382217407227</v>
      </c>
      <c r="E54" s="131">
        <v>1.6229840517044067</v>
      </c>
    </row>
    <row r="55" spans="1:5">
      <c r="A55" s="132">
        <v>1653</v>
      </c>
      <c r="B55" s="131">
        <v>0.73855936527252197</v>
      </c>
      <c r="C55" s="131">
        <v>0.58738631010055542</v>
      </c>
      <c r="D55" s="131">
        <v>0.76807570457458496</v>
      </c>
      <c r="E55" s="131">
        <v>1.5544971227645874</v>
      </c>
    </row>
    <row r="56" spans="1:5">
      <c r="A56" s="132">
        <v>1654</v>
      </c>
      <c r="B56" s="131">
        <v>0.73585444688796997</v>
      </c>
      <c r="C56" s="131">
        <v>0.5396350622177124</v>
      </c>
      <c r="D56" s="131">
        <v>0.69668138027191162</v>
      </c>
      <c r="E56" s="131">
        <v>1.5842393636703491</v>
      </c>
    </row>
    <row r="57" spans="1:5">
      <c r="A57" s="132">
        <v>1655</v>
      </c>
      <c r="B57" s="131">
        <v>0.74123305082321167</v>
      </c>
      <c r="C57" s="131">
        <v>0.57887780666351318</v>
      </c>
      <c r="D57" s="131">
        <v>0.87287604808807373</v>
      </c>
      <c r="E57" s="131">
        <v>1.5338236093521118</v>
      </c>
    </row>
    <row r="58" spans="1:5">
      <c r="A58" s="132">
        <v>1656</v>
      </c>
      <c r="B58" s="131">
        <v>0.75741052627563477</v>
      </c>
      <c r="C58" s="131">
        <v>0.46606239676475525</v>
      </c>
      <c r="D58" s="131">
        <v>0.91656559705734253</v>
      </c>
      <c r="E58" s="131">
        <v>1.3970931768417358</v>
      </c>
    </row>
    <row r="59" spans="1:5">
      <c r="A59" s="132">
        <v>1657</v>
      </c>
      <c r="B59" s="131">
        <v>0.78726917505264282</v>
      </c>
      <c r="C59" s="131">
        <v>0.60824763774871826</v>
      </c>
      <c r="D59" s="131">
        <v>0.9175536036491394</v>
      </c>
      <c r="E59" s="131">
        <v>1.4453785419464111</v>
      </c>
    </row>
    <row r="60" spans="1:5">
      <c r="A60" s="132">
        <v>1658</v>
      </c>
      <c r="B60" s="131">
        <v>0.72015851736068726</v>
      </c>
      <c r="C60" s="131">
        <v>0.83773750066757202</v>
      </c>
      <c r="D60" s="131">
        <v>0.8405226469039917</v>
      </c>
      <c r="E60" s="131">
        <v>1.517967700958252</v>
      </c>
    </row>
    <row r="61" spans="1:5">
      <c r="A61" s="132">
        <v>1659</v>
      </c>
      <c r="B61" s="131">
        <v>0.94547241926193237</v>
      </c>
      <c r="C61" s="131">
        <v>0.76381790637969971</v>
      </c>
      <c r="D61" s="131">
        <v>0.80368155241012573</v>
      </c>
      <c r="E61" s="131">
        <v>1.667006254196167</v>
      </c>
    </row>
    <row r="62" spans="1:5">
      <c r="A62" s="132">
        <v>1660</v>
      </c>
      <c r="B62" s="131">
        <v>0.87864845991134644</v>
      </c>
      <c r="C62" s="131">
        <v>0.74624961614608765</v>
      </c>
      <c r="D62" s="131">
        <v>0.84437358379364014</v>
      </c>
      <c r="E62" s="131">
        <v>1.5004709959030151</v>
      </c>
    </row>
    <row r="63" spans="1:5">
      <c r="A63" s="132">
        <v>1661</v>
      </c>
      <c r="B63" s="131">
        <v>0.98315119743347168</v>
      </c>
      <c r="C63" s="131">
        <v>0.70591944456100464</v>
      </c>
      <c r="D63" s="131">
        <v>0.80561083555221558</v>
      </c>
      <c r="E63" s="131">
        <v>1.4521061182022095</v>
      </c>
    </row>
    <row r="64" spans="1:5">
      <c r="A64" s="132">
        <v>1662</v>
      </c>
      <c r="B64" s="131">
        <v>0.86366665363311768</v>
      </c>
      <c r="C64" s="131">
        <v>0.68852365016937256</v>
      </c>
      <c r="D64" s="131">
        <v>0.91351205110549927</v>
      </c>
      <c r="E64" s="131">
        <v>1.5254775285720825</v>
      </c>
    </row>
    <row r="65" spans="1:5">
      <c r="A65" s="132">
        <v>1663</v>
      </c>
      <c r="B65" s="131">
        <v>0.82821309566497803</v>
      </c>
      <c r="C65" s="131">
        <v>0.82281404733657837</v>
      </c>
      <c r="D65" s="131">
        <v>0.99882471561431885</v>
      </c>
      <c r="E65" s="131">
        <v>1.375312328338623</v>
      </c>
    </row>
    <row r="66" spans="1:5">
      <c r="A66" s="132">
        <v>1664</v>
      </c>
      <c r="B66" s="131">
        <v>0.84435856342315674</v>
      </c>
      <c r="C66" s="131">
        <v>0.70025134086608887</v>
      </c>
      <c r="D66" s="131">
        <v>0.80514299869537354</v>
      </c>
      <c r="E66" s="131">
        <v>1.7821413278579712</v>
      </c>
    </row>
    <row r="67" spans="1:5">
      <c r="A67" s="132">
        <v>1665</v>
      </c>
      <c r="B67" s="131">
        <v>0.86173343658447266</v>
      </c>
      <c r="C67" s="131">
        <v>0.72684711217880249</v>
      </c>
      <c r="D67" s="131">
        <v>0.81289118528366089</v>
      </c>
      <c r="E67" s="131">
        <v>1.2518153190612793</v>
      </c>
    </row>
    <row r="68" spans="1:5">
      <c r="A68" s="132">
        <v>1666</v>
      </c>
      <c r="B68" s="131">
        <v>1.0141494274139404</v>
      </c>
      <c r="C68" s="131">
        <v>0.76916146278381348</v>
      </c>
      <c r="D68" s="131">
        <v>0.89050114154815674</v>
      </c>
      <c r="E68" s="131">
        <v>1.2559069395065308</v>
      </c>
    </row>
    <row r="69" spans="1:5">
      <c r="A69" s="132">
        <v>1667</v>
      </c>
      <c r="B69" s="131">
        <v>0.60320162773132324</v>
      </c>
      <c r="C69" s="131">
        <v>0.83541083335876465</v>
      </c>
      <c r="D69" s="131">
        <v>0.87996900081634521</v>
      </c>
      <c r="E69" s="131">
        <v>1.1652227640151978</v>
      </c>
    </row>
    <row r="70" spans="1:5">
      <c r="A70" s="132">
        <v>1668</v>
      </c>
      <c r="B70" s="131">
        <v>0.96920037269592285</v>
      </c>
      <c r="C70" s="131">
        <v>0.93764173984527588</v>
      </c>
      <c r="D70" s="131">
        <v>0.98881888389587402</v>
      </c>
      <c r="E70" s="131">
        <v>1.1964454650878906</v>
      </c>
    </row>
    <row r="71" spans="1:5">
      <c r="A71" s="132">
        <v>1669</v>
      </c>
      <c r="B71" s="131">
        <v>1.1359107494354248</v>
      </c>
      <c r="C71" s="131">
        <v>0.81629997491836548</v>
      </c>
      <c r="D71" s="131">
        <v>0.94982117414474487</v>
      </c>
      <c r="E71" s="131">
        <v>1.2513335943222046</v>
      </c>
    </row>
    <row r="72" spans="1:5">
      <c r="A72" s="132">
        <v>1670</v>
      </c>
      <c r="B72" s="131">
        <v>1.1269791126251221</v>
      </c>
      <c r="C72" s="131">
        <v>0.9845961332321167</v>
      </c>
      <c r="D72" s="131">
        <v>0.93712002038955688</v>
      </c>
      <c r="E72" s="131">
        <v>1.2436733245849609</v>
      </c>
    </row>
    <row r="73" spans="1:5">
      <c r="A73" s="132">
        <v>1671</v>
      </c>
      <c r="B73" s="131">
        <v>1.4532133340835571</v>
      </c>
      <c r="C73" s="131">
        <v>0.8102877140045166</v>
      </c>
      <c r="D73" s="131">
        <v>0.94462031126022339</v>
      </c>
      <c r="E73" s="131">
        <v>1.0930335521697998</v>
      </c>
    </row>
    <row r="74" spans="1:5">
      <c r="A74" s="132">
        <v>1672</v>
      </c>
      <c r="B74" s="131">
        <v>1.3554496765136719</v>
      </c>
      <c r="C74" s="131">
        <v>0.65196466445922852</v>
      </c>
      <c r="D74" s="131">
        <v>0.87395024299621582</v>
      </c>
      <c r="E74" s="131">
        <v>1.0145803689956665</v>
      </c>
    </row>
    <row r="75" spans="1:5">
      <c r="A75" s="132">
        <v>1673</v>
      </c>
      <c r="B75" s="131">
        <v>1.3415114879608154</v>
      </c>
      <c r="C75" s="131">
        <v>0.8074076771736145</v>
      </c>
      <c r="D75" s="131">
        <v>0.95502263307571411</v>
      </c>
      <c r="E75" s="131">
        <v>1.1375976800918579</v>
      </c>
    </row>
    <row r="76" spans="1:5">
      <c r="A76" s="132">
        <v>1674</v>
      </c>
      <c r="B76" s="131">
        <v>1.1177858114242554</v>
      </c>
      <c r="C76" s="131">
        <v>0.69010531902313232</v>
      </c>
      <c r="D76" s="131">
        <v>0.81962621212005615</v>
      </c>
      <c r="E76" s="131">
        <v>1.0781906843185425</v>
      </c>
    </row>
    <row r="77" spans="1:5">
      <c r="A77" s="132">
        <v>1675</v>
      </c>
      <c r="B77" s="131">
        <v>1.144834041595459</v>
      </c>
      <c r="C77" s="131">
        <v>0.80632823705673218</v>
      </c>
      <c r="D77" s="131">
        <v>0.6938546895980835</v>
      </c>
      <c r="E77" s="131">
        <v>0.96488547325134277</v>
      </c>
    </row>
    <row r="78" spans="1:5">
      <c r="A78" s="132">
        <v>1676</v>
      </c>
      <c r="B78" s="131">
        <v>0.95078182220458984</v>
      </c>
      <c r="C78" s="131">
        <v>0.67641347646713257</v>
      </c>
      <c r="D78" s="131">
        <v>0.79079174995422363</v>
      </c>
      <c r="E78" s="131">
        <v>1.0915374755859375</v>
      </c>
    </row>
    <row r="79" spans="1:5">
      <c r="A79" s="132">
        <v>1677</v>
      </c>
      <c r="B79" s="131">
        <v>0.68538671731948853</v>
      </c>
      <c r="C79" s="131">
        <v>0.70860761404037476</v>
      </c>
      <c r="D79" s="131">
        <v>0.81442219018936157</v>
      </c>
      <c r="E79" s="131">
        <v>1.0519198179244995</v>
      </c>
    </row>
    <row r="80" spans="1:5">
      <c r="A80" s="132">
        <v>1678</v>
      </c>
      <c r="B80" s="131">
        <v>1.1212599277496338</v>
      </c>
      <c r="C80" s="131">
        <v>0.53789710998535156</v>
      </c>
      <c r="D80" s="131">
        <v>0.70547932386398315</v>
      </c>
      <c r="E80" s="131">
        <v>1.0527057647705078</v>
      </c>
    </row>
    <row r="81" spans="1:5">
      <c r="A81" s="132">
        <v>1679</v>
      </c>
      <c r="B81" s="131">
        <v>0.91528302431106567</v>
      </c>
      <c r="C81" s="131">
        <v>0.58909571170806885</v>
      </c>
      <c r="D81" s="131">
        <v>0.74365484714508057</v>
      </c>
      <c r="E81" s="131">
        <v>1.1061141490936279</v>
      </c>
    </row>
    <row r="82" spans="1:5">
      <c r="A82" s="132">
        <v>1680</v>
      </c>
      <c r="B82" s="131">
        <v>1.3164513111114502</v>
      </c>
      <c r="C82" s="131">
        <v>0.67079079151153564</v>
      </c>
      <c r="D82" s="131">
        <v>0.93382370471954346</v>
      </c>
      <c r="E82" s="131">
        <v>1.1194465160369873</v>
      </c>
    </row>
    <row r="83" spans="1:5">
      <c r="A83" s="132">
        <v>1681</v>
      </c>
      <c r="B83" s="131">
        <v>0.90716159343719482</v>
      </c>
      <c r="C83" s="131">
        <v>0.62655031681060791</v>
      </c>
      <c r="D83" s="131">
        <v>0.82301938533782959</v>
      </c>
      <c r="E83" s="131">
        <v>1.1776334047317505</v>
      </c>
    </row>
    <row r="84" spans="1:5">
      <c r="A84" s="132">
        <v>1682</v>
      </c>
      <c r="B84" s="131">
        <v>1.0009658336639404</v>
      </c>
      <c r="C84" s="131">
        <v>0.72799474000930786</v>
      </c>
      <c r="D84" s="131">
        <v>0.86276108026504517</v>
      </c>
      <c r="E84" s="131">
        <v>1.2832134962081909</v>
      </c>
    </row>
    <row r="85" spans="1:5">
      <c r="A85" s="132">
        <v>1683</v>
      </c>
      <c r="B85" s="131">
        <v>1.0278666019439697</v>
      </c>
      <c r="C85" s="131">
        <v>0.788196861743927</v>
      </c>
      <c r="D85" s="131">
        <v>0.83295559883117676</v>
      </c>
      <c r="E85" s="131">
        <v>1.3105520009994507</v>
      </c>
    </row>
    <row r="86" spans="1:5">
      <c r="A86" s="132">
        <v>1684</v>
      </c>
      <c r="B86" s="131">
        <v>1.0498454570770264</v>
      </c>
      <c r="C86" s="131">
        <v>0.7699437141418457</v>
      </c>
      <c r="D86" s="131">
        <v>0.99246048927307129</v>
      </c>
      <c r="E86" s="131">
        <v>1.1730881929397583</v>
      </c>
    </row>
    <row r="87" spans="1:5">
      <c r="A87" s="132">
        <v>1685</v>
      </c>
      <c r="B87" s="131">
        <v>0.91891855001449585</v>
      </c>
      <c r="C87" s="131">
        <v>0.73577207326889038</v>
      </c>
      <c r="D87" s="131">
        <v>0.81883758306503296</v>
      </c>
      <c r="E87" s="131">
        <v>1.0723955631256104</v>
      </c>
    </row>
    <row r="88" spans="1:5">
      <c r="A88" s="132">
        <v>1686</v>
      </c>
      <c r="B88" s="131">
        <v>1.0375106334686279</v>
      </c>
      <c r="C88" s="131">
        <v>0.69448304176330566</v>
      </c>
      <c r="D88" s="131">
        <v>0.84710747003555298</v>
      </c>
      <c r="E88" s="131">
        <v>1.1260323524475098</v>
      </c>
    </row>
    <row r="89" spans="1:5">
      <c r="A89" s="132">
        <v>1687</v>
      </c>
      <c r="B89" s="131">
        <v>1.0860791206359863</v>
      </c>
      <c r="C89" s="131">
        <v>0.71690088510513306</v>
      </c>
      <c r="D89" s="131">
        <v>0.83803266286849976</v>
      </c>
      <c r="E89" s="131">
        <v>1.2540719509124756</v>
      </c>
    </row>
    <row r="90" spans="1:5">
      <c r="A90" s="132">
        <v>1688</v>
      </c>
      <c r="B90" s="131">
        <v>0.97375500202178955</v>
      </c>
      <c r="C90" s="131">
        <v>0.77794623374938965</v>
      </c>
      <c r="D90" s="131">
        <v>0.89961683750152588</v>
      </c>
      <c r="E90" s="131">
        <v>1.409584641456604</v>
      </c>
    </row>
    <row r="91" spans="1:5">
      <c r="A91" s="132">
        <v>1689</v>
      </c>
      <c r="B91" s="131">
        <v>1.0814478397369385</v>
      </c>
      <c r="C91" s="131">
        <v>0.6264878511428833</v>
      </c>
      <c r="D91" s="131">
        <v>1.0025837421417236</v>
      </c>
      <c r="E91" s="131">
        <v>1.3460003137588501</v>
      </c>
    </row>
    <row r="92" spans="1:5">
      <c r="A92" s="132">
        <v>1690</v>
      </c>
      <c r="B92" s="131">
        <v>0.98137199878692627</v>
      </c>
      <c r="C92" s="131">
        <v>0.83019417524337769</v>
      </c>
      <c r="D92" s="131">
        <v>0.94121736288070679</v>
      </c>
      <c r="E92" s="131">
        <v>1.196181058883667</v>
      </c>
    </row>
    <row r="93" spans="1:5">
      <c r="A93" s="132">
        <v>1691</v>
      </c>
      <c r="B93" s="131">
        <v>0.91022980213165283</v>
      </c>
      <c r="C93" s="131">
        <v>0.68646913766860962</v>
      </c>
      <c r="D93" s="131">
        <v>0.58349877595901489</v>
      </c>
      <c r="E93" s="131">
        <v>1.1726580858230591</v>
      </c>
    </row>
    <row r="94" spans="1:5">
      <c r="A94" s="132">
        <v>1692</v>
      </c>
      <c r="B94" s="131">
        <v>0.93103271722793579</v>
      </c>
      <c r="C94" s="131">
        <v>0.77890431880950928</v>
      </c>
      <c r="D94" s="131">
        <v>0.87920200824737549</v>
      </c>
      <c r="E94" s="131">
        <v>1.1577247381210327</v>
      </c>
    </row>
    <row r="95" spans="1:5">
      <c r="A95" s="132">
        <v>1693</v>
      </c>
      <c r="B95" s="131">
        <v>0.86144274473190308</v>
      </c>
      <c r="C95" s="131">
        <v>0.74271166324615479</v>
      </c>
      <c r="D95" s="131">
        <v>0.82410067319869995</v>
      </c>
      <c r="E95" s="131">
        <v>1.0135682821273804</v>
      </c>
    </row>
    <row r="96" spans="1:5">
      <c r="A96" s="132">
        <v>1694</v>
      </c>
      <c r="B96" s="131">
        <v>0.82759767770767212</v>
      </c>
      <c r="C96" s="131">
        <v>0.70146149396896362</v>
      </c>
      <c r="D96" s="131">
        <v>0.8039129376411438</v>
      </c>
      <c r="E96" s="131">
        <v>1.0462459325790405</v>
      </c>
    </row>
    <row r="97" spans="1:5">
      <c r="A97" s="132">
        <v>1695</v>
      </c>
      <c r="B97" s="131">
        <v>0.75520294904708862</v>
      </c>
      <c r="C97" s="131">
        <v>0.70051068067550659</v>
      </c>
      <c r="D97" s="131">
        <v>0.7103431224822998</v>
      </c>
      <c r="E97" s="131">
        <v>1.0205966234207153</v>
      </c>
    </row>
    <row r="98" spans="1:5">
      <c r="A98" s="132">
        <v>1696</v>
      </c>
      <c r="B98" s="131">
        <v>0.76213645935058594</v>
      </c>
      <c r="C98" s="131">
        <v>0.72199380397796631</v>
      </c>
      <c r="D98" s="131">
        <v>0.6764339804649353</v>
      </c>
      <c r="E98" s="131">
        <v>0.89854216575622559</v>
      </c>
    </row>
    <row r="99" spans="1:5">
      <c r="A99" s="132">
        <v>1697</v>
      </c>
      <c r="B99" s="131">
        <v>0.72600919008255005</v>
      </c>
      <c r="C99" s="131">
        <v>0.69802439212799072</v>
      </c>
      <c r="D99" s="131">
        <v>0.7043004035949707</v>
      </c>
      <c r="E99" s="131">
        <v>0.99576956033706665</v>
      </c>
    </row>
    <row r="100" spans="1:5">
      <c r="A100" s="132">
        <v>1698</v>
      </c>
      <c r="B100" s="131">
        <v>0.76309645175933838</v>
      </c>
      <c r="C100" s="131">
        <v>0.7149694561958313</v>
      </c>
      <c r="D100" s="131">
        <v>0.78668540716171265</v>
      </c>
      <c r="E100" s="131">
        <v>1.0394489765167236</v>
      </c>
    </row>
    <row r="101" spans="1:5">
      <c r="A101" s="132">
        <v>1699</v>
      </c>
      <c r="B101" s="131">
        <v>0.73171991109848022</v>
      </c>
      <c r="C101" s="131">
        <v>0.70321404933929443</v>
      </c>
      <c r="D101" s="131">
        <v>0.84109348058700562</v>
      </c>
      <c r="E101" s="131">
        <v>1.0387198925018311</v>
      </c>
    </row>
    <row r="102" spans="1:5">
      <c r="A102" s="132">
        <v>1700</v>
      </c>
      <c r="B102" s="131">
        <v>0.60571610927581787</v>
      </c>
      <c r="C102" s="131">
        <v>0.68267637491226196</v>
      </c>
      <c r="D102" s="131">
        <v>0.83816784620285034</v>
      </c>
      <c r="E102" s="131">
        <v>1.1055190563201904</v>
      </c>
    </row>
    <row r="103" spans="1:5">
      <c r="A103" s="132">
        <v>1701</v>
      </c>
      <c r="B103" s="131">
        <v>0.71471941471099854</v>
      </c>
      <c r="C103" s="131">
        <v>0.52537739276885986</v>
      </c>
      <c r="D103" s="131">
        <v>0.86153876781463623</v>
      </c>
      <c r="E103" s="131">
        <v>1.1198067665100098</v>
      </c>
    </row>
    <row r="104" spans="1:5">
      <c r="A104" s="132">
        <v>1702</v>
      </c>
      <c r="B104" s="131">
        <v>0.63206082582473755</v>
      </c>
      <c r="C104" s="131">
        <v>0.48836225271224976</v>
      </c>
      <c r="D104" s="131">
        <v>0.81438374519348145</v>
      </c>
      <c r="E104" s="131">
        <v>1.2567784786224365</v>
      </c>
    </row>
    <row r="105" spans="1:5">
      <c r="A105" s="132">
        <v>1703</v>
      </c>
      <c r="B105" s="131">
        <v>0.71274638175964355</v>
      </c>
      <c r="C105" s="131">
        <v>0.53107970952987671</v>
      </c>
      <c r="D105" s="131">
        <v>0.85578256845474243</v>
      </c>
      <c r="E105" s="131">
        <v>1.2431173324584961</v>
      </c>
    </row>
    <row r="106" spans="1:5">
      <c r="A106" s="132">
        <v>1704</v>
      </c>
      <c r="B106" s="131">
        <v>0.77752745151519775</v>
      </c>
      <c r="C106" s="131">
        <v>0.47364690899848938</v>
      </c>
      <c r="D106" s="131">
        <v>0.85426449775695801</v>
      </c>
      <c r="E106" s="131">
        <v>1.2553195953369141</v>
      </c>
    </row>
    <row r="107" spans="1:5">
      <c r="A107" s="132">
        <v>1705</v>
      </c>
      <c r="B107" s="131">
        <v>0.90327143669128418</v>
      </c>
      <c r="C107" s="131">
        <v>0.46061059832572937</v>
      </c>
      <c r="D107" s="131">
        <v>0.84562373161315918</v>
      </c>
      <c r="E107" s="131">
        <v>1.1842057704925537</v>
      </c>
    </row>
    <row r="108" spans="1:5">
      <c r="A108" s="132">
        <v>1706</v>
      </c>
      <c r="B108" s="131">
        <v>0.83846879005432129</v>
      </c>
      <c r="C108" s="131">
        <v>0.4808085560798645</v>
      </c>
      <c r="D108" s="131">
        <v>0.80504751205444336</v>
      </c>
      <c r="E108" s="131">
        <v>1.1798827648162842</v>
      </c>
    </row>
    <row r="109" spans="1:5">
      <c r="A109" s="132">
        <v>1707</v>
      </c>
      <c r="B109" s="131">
        <v>0.85943436622619629</v>
      </c>
      <c r="C109" s="131">
        <v>0.44396919012069702</v>
      </c>
      <c r="D109" s="131">
        <v>0.75214320421218872</v>
      </c>
      <c r="E109" s="131">
        <v>1.1887418031692505</v>
      </c>
    </row>
    <row r="110" spans="1:5">
      <c r="A110" s="132">
        <v>1708</v>
      </c>
      <c r="B110" s="131">
        <v>0.6615455150604248</v>
      </c>
      <c r="C110" s="131">
        <v>0.4579826295375824</v>
      </c>
      <c r="D110" s="131">
        <v>0.75800085067749023</v>
      </c>
      <c r="E110" s="131">
        <v>1.098138689994812</v>
      </c>
    </row>
    <row r="111" spans="1:5">
      <c r="A111" s="132">
        <v>1709</v>
      </c>
      <c r="B111" s="131">
        <v>0.49781668186187744</v>
      </c>
      <c r="C111" s="131">
        <v>0.39964953064918518</v>
      </c>
      <c r="D111" s="131">
        <v>0.65406274795532227</v>
      </c>
      <c r="E111" s="131">
        <v>0.95254957675933838</v>
      </c>
    </row>
    <row r="112" spans="1:5">
      <c r="A112" s="132">
        <v>1710</v>
      </c>
      <c r="B112" s="131">
        <v>0.56589674949645996</v>
      </c>
      <c r="C112" s="131">
        <v>0.5040401816368103</v>
      </c>
      <c r="D112" s="131">
        <v>0.68142795562744141</v>
      </c>
      <c r="E112" s="131">
        <v>1.0896090269088745</v>
      </c>
    </row>
    <row r="113" spans="1:5">
      <c r="A113" s="132">
        <v>1711</v>
      </c>
      <c r="B113" s="131">
        <v>0.7419624924659729</v>
      </c>
      <c r="C113" s="131">
        <v>0.56780546903610229</v>
      </c>
      <c r="D113" s="131">
        <v>0.78731364011764526</v>
      </c>
      <c r="E113" s="131">
        <v>1.3307173252105713</v>
      </c>
    </row>
    <row r="114" spans="1:5">
      <c r="A114" s="132">
        <v>1712</v>
      </c>
      <c r="B114" s="131">
        <v>0.92914754152297974</v>
      </c>
      <c r="C114" s="131">
        <v>0.64075464010238647</v>
      </c>
      <c r="D114" s="131">
        <v>0.85656523704528809</v>
      </c>
      <c r="E114" s="131">
        <v>1.1974704265594482</v>
      </c>
    </row>
    <row r="115" spans="1:5">
      <c r="A115" s="132">
        <v>1713</v>
      </c>
      <c r="B115" s="131">
        <v>0.63129228353500366</v>
      </c>
      <c r="C115" s="131">
        <v>0.63369405269622803</v>
      </c>
      <c r="D115" s="131">
        <v>0.79833585023880005</v>
      </c>
      <c r="E115" s="131">
        <v>1.1549454927444458</v>
      </c>
    </row>
    <row r="116" spans="1:5">
      <c r="A116" s="132">
        <v>1714</v>
      </c>
      <c r="B116" s="131">
        <v>0.73948591947555542</v>
      </c>
      <c r="C116" s="131">
        <v>0.66275894641876221</v>
      </c>
      <c r="D116" s="131">
        <v>0.7627374529838562</v>
      </c>
      <c r="E116" s="131">
        <v>1.1061172485351563</v>
      </c>
    </row>
    <row r="117" spans="1:5">
      <c r="A117" s="132">
        <v>1715</v>
      </c>
      <c r="B117" s="131">
        <v>0.61168950796127319</v>
      </c>
      <c r="C117" s="131">
        <v>0.64332038164138794</v>
      </c>
      <c r="D117" s="131">
        <v>0.7209746241569519</v>
      </c>
      <c r="E117" s="131">
        <v>1.049180269241333</v>
      </c>
    </row>
    <row r="118" spans="1:5">
      <c r="A118" s="132">
        <v>1716</v>
      </c>
      <c r="B118" s="131">
        <v>0.78202670812606812</v>
      </c>
      <c r="C118" s="131">
        <v>0.65843755006790161</v>
      </c>
      <c r="D118" s="131">
        <v>0.765220046043396</v>
      </c>
      <c r="E118" s="131">
        <v>1.0986131429672241</v>
      </c>
    </row>
    <row r="119" spans="1:5">
      <c r="A119" s="132">
        <v>1717</v>
      </c>
      <c r="B119" s="131">
        <v>1.0020617246627808</v>
      </c>
      <c r="C119" s="131">
        <v>0.60811686515808105</v>
      </c>
      <c r="D119" s="131">
        <v>0.8060041069984436</v>
      </c>
      <c r="E119" s="131">
        <v>1.1046390533447266</v>
      </c>
    </row>
    <row r="120" spans="1:5">
      <c r="A120" s="132">
        <v>1718</v>
      </c>
      <c r="B120" s="131">
        <v>0.7193717360496521</v>
      </c>
      <c r="C120" s="131">
        <v>0.60004633665084839</v>
      </c>
      <c r="D120" s="131">
        <v>0.80305188894271851</v>
      </c>
      <c r="E120" s="131">
        <v>1.1968567371368408</v>
      </c>
    </row>
    <row r="121" spans="1:5">
      <c r="A121" s="132">
        <v>1719</v>
      </c>
      <c r="B121" s="131">
        <v>0.83423095941543579</v>
      </c>
      <c r="C121" s="131">
        <v>0.62645125389099121</v>
      </c>
      <c r="D121" s="131">
        <v>0.84768718481063843</v>
      </c>
      <c r="E121" s="131">
        <v>1.2577219009399414</v>
      </c>
    </row>
    <row r="122" spans="1:5">
      <c r="A122" s="132">
        <v>1720</v>
      </c>
      <c r="B122" s="131">
        <v>0.82954353094100952</v>
      </c>
      <c r="C122" s="131">
        <v>0.61852419376373291</v>
      </c>
      <c r="D122" s="131">
        <v>0.90553629398345947</v>
      </c>
      <c r="E122" s="131">
        <v>1.3058029413223267</v>
      </c>
    </row>
    <row r="123" spans="1:5">
      <c r="A123" s="132">
        <v>1721</v>
      </c>
      <c r="B123" s="131">
        <v>1.0801504850387573</v>
      </c>
      <c r="C123" s="131">
        <v>0.67897522449493408</v>
      </c>
      <c r="D123" s="131">
        <v>0.95965397357940674</v>
      </c>
      <c r="E123" s="131">
        <v>1.3967523574829102</v>
      </c>
    </row>
    <row r="124" spans="1:5">
      <c r="A124" s="132">
        <v>1722</v>
      </c>
      <c r="B124" s="131">
        <v>1.1080782413482666</v>
      </c>
      <c r="C124" s="131">
        <v>0.66506987810134888</v>
      </c>
      <c r="D124" s="131">
        <v>0.91934329271316528</v>
      </c>
      <c r="E124" s="131">
        <v>1.406416654586792</v>
      </c>
    </row>
    <row r="125" spans="1:5">
      <c r="A125" s="132">
        <v>1723</v>
      </c>
      <c r="B125" s="131">
        <v>1.0063420534133911</v>
      </c>
      <c r="C125" s="131">
        <v>0.66239619255065918</v>
      </c>
      <c r="D125" s="131">
        <v>1.0044800043106079</v>
      </c>
      <c r="E125" s="131">
        <v>1.5058927536010742</v>
      </c>
    </row>
    <row r="126" spans="1:5">
      <c r="A126" s="132">
        <v>1724</v>
      </c>
      <c r="B126" s="131">
        <v>0.89821398258209229</v>
      </c>
      <c r="C126" s="131">
        <v>0.70899534225463867</v>
      </c>
      <c r="D126" s="131">
        <v>1.0726503133773804</v>
      </c>
      <c r="E126" s="131">
        <v>1.3569012880325317</v>
      </c>
    </row>
    <row r="127" spans="1:5">
      <c r="A127" s="132">
        <v>1725</v>
      </c>
      <c r="B127" s="131">
        <v>1.0731042623519897</v>
      </c>
      <c r="C127" s="131">
        <v>0.69935095310211182</v>
      </c>
      <c r="D127" s="131">
        <v>0.95618104934692383</v>
      </c>
      <c r="E127" s="131">
        <v>1.2912000417709351</v>
      </c>
    </row>
    <row r="128" spans="1:5">
      <c r="A128" s="132">
        <v>1726</v>
      </c>
      <c r="B128" s="131">
        <v>1.1336591243743896</v>
      </c>
      <c r="C128" s="131">
        <v>0.69888079166412354</v>
      </c>
      <c r="D128" s="131">
        <v>0.94006425142288208</v>
      </c>
      <c r="E128" s="131">
        <v>1.3528256416320801</v>
      </c>
    </row>
    <row r="129" spans="1:5">
      <c r="A129" s="132">
        <v>1727</v>
      </c>
      <c r="B129" s="131">
        <v>0.97052723169326782</v>
      </c>
      <c r="C129" s="131">
        <v>0.71522176265716553</v>
      </c>
      <c r="D129" s="131">
        <v>0.95597720146179199</v>
      </c>
      <c r="E129" s="131">
        <v>1.4433948993682861</v>
      </c>
    </row>
    <row r="130" spans="1:5">
      <c r="A130" s="132">
        <v>1728</v>
      </c>
      <c r="B130" s="131">
        <v>0.9004252552986145</v>
      </c>
      <c r="C130" s="131">
        <v>0.73887592554092407</v>
      </c>
      <c r="D130" s="131">
        <v>1.0755022764205933</v>
      </c>
      <c r="E130" s="131">
        <v>1.2981209754943848</v>
      </c>
    </row>
    <row r="131" spans="1:5">
      <c r="A131" s="132">
        <v>1729</v>
      </c>
      <c r="B131" s="131">
        <v>0.82190912961959839</v>
      </c>
      <c r="C131" s="131">
        <v>0.71965271234512329</v>
      </c>
      <c r="D131" s="131">
        <v>1.0617750883102417</v>
      </c>
      <c r="E131" s="131">
        <v>1.1321548223495483</v>
      </c>
    </row>
    <row r="132" spans="1:5">
      <c r="A132" s="132">
        <v>1730</v>
      </c>
      <c r="B132" s="131">
        <v>0.92822939157485962</v>
      </c>
      <c r="C132" s="131">
        <v>0.72891241312026978</v>
      </c>
      <c r="D132" s="131">
        <v>1.087343692779541</v>
      </c>
      <c r="E132" s="131">
        <v>1.1422796249389648</v>
      </c>
    </row>
    <row r="133" spans="1:5">
      <c r="A133" s="132">
        <v>1731</v>
      </c>
      <c r="B133" s="131">
        <v>0.98514813184738159</v>
      </c>
      <c r="C133" s="131">
        <v>0.69899678230285645</v>
      </c>
      <c r="D133" s="131">
        <v>0.96149784326553345</v>
      </c>
      <c r="E133" s="131">
        <v>1.1347805261611938</v>
      </c>
    </row>
    <row r="134" spans="1:5">
      <c r="A134" s="132">
        <v>1732</v>
      </c>
      <c r="B134" s="131">
        <v>0.97181737422943115</v>
      </c>
      <c r="C134" s="131">
        <v>0.65499347448348999</v>
      </c>
      <c r="D134" s="131">
        <v>0.98853617906570435</v>
      </c>
      <c r="E134" s="131">
        <v>1.084601879119873</v>
      </c>
    </row>
    <row r="135" spans="1:5">
      <c r="A135" s="132">
        <v>1733</v>
      </c>
      <c r="B135" s="131">
        <v>0.89617389440536499</v>
      </c>
      <c r="C135" s="131">
        <v>0.62127113342285156</v>
      </c>
      <c r="D135" s="131">
        <v>0.8280566930770874</v>
      </c>
      <c r="E135" s="131">
        <v>1.0062675476074219</v>
      </c>
    </row>
    <row r="136" spans="1:5">
      <c r="A136" s="132">
        <v>1734</v>
      </c>
      <c r="B136" s="131">
        <v>0.67906433343887329</v>
      </c>
      <c r="C136" s="131">
        <v>0.57065623998641968</v>
      </c>
      <c r="D136" s="131">
        <v>0.73103940486907959</v>
      </c>
      <c r="E136" s="131">
        <v>1.0624423027038574</v>
      </c>
    </row>
    <row r="137" spans="1:5">
      <c r="A137" s="132">
        <v>1735</v>
      </c>
      <c r="B137" s="131">
        <v>0.75754636526107788</v>
      </c>
      <c r="C137" s="131">
        <v>0.62249654531478882</v>
      </c>
      <c r="D137" s="131">
        <v>0.78706121444702148</v>
      </c>
      <c r="E137" s="131">
        <v>0.96433538198471069</v>
      </c>
    </row>
    <row r="138" spans="1:5">
      <c r="A138" s="132">
        <v>1736</v>
      </c>
      <c r="B138" s="131">
        <v>0.7732735276222229</v>
      </c>
      <c r="C138" s="131">
        <v>0.63584578037261963</v>
      </c>
      <c r="D138" s="131">
        <v>0.8212895393371582</v>
      </c>
      <c r="E138" s="131">
        <v>0.91120123863220215</v>
      </c>
    </row>
    <row r="139" spans="1:5">
      <c r="A139" s="132">
        <v>1737</v>
      </c>
      <c r="B139" s="131">
        <v>0.82545739412307739</v>
      </c>
      <c r="C139" s="131">
        <v>0.62420982122421265</v>
      </c>
      <c r="D139" s="131">
        <v>0.94182807207107544</v>
      </c>
      <c r="E139" s="131">
        <v>1.0118546485900879</v>
      </c>
    </row>
    <row r="140" spans="1:5">
      <c r="A140" s="132">
        <v>1738</v>
      </c>
      <c r="B140" s="131">
        <v>0.94692111015319824</v>
      </c>
      <c r="C140" s="131">
        <v>0.79054111242294312</v>
      </c>
      <c r="D140" s="131">
        <v>0.89196079969406128</v>
      </c>
      <c r="E140" s="131">
        <v>1.0279704332351685</v>
      </c>
    </row>
    <row r="141" spans="1:5">
      <c r="A141" s="132">
        <v>1739</v>
      </c>
      <c r="B141" s="131">
        <v>0.89281010627746582</v>
      </c>
      <c r="C141" s="131">
        <v>0.80142039060592651</v>
      </c>
      <c r="D141" s="131">
        <v>0.85426622629165649</v>
      </c>
      <c r="E141" s="131">
        <v>0.94039064645767212</v>
      </c>
    </row>
    <row r="142" spans="1:5">
      <c r="A142" s="132">
        <v>1740</v>
      </c>
      <c r="B142" s="131">
        <v>0.76907980442047119</v>
      </c>
      <c r="C142" s="131">
        <v>0.80272060632705688</v>
      </c>
      <c r="D142" s="131">
        <v>0.78569304943084717</v>
      </c>
      <c r="E142" s="131">
        <v>0.87093287706375122</v>
      </c>
    </row>
    <row r="143" spans="1:5">
      <c r="A143" s="132">
        <v>1741</v>
      </c>
      <c r="B143" s="131">
        <v>0.73568266630172729</v>
      </c>
      <c r="C143" s="131">
        <v>0.66708534955978394</v>
      </c>
      <c r="D143" s="131">
        <v>0.76462799310684204</v>
      </c>
      <c r="E143" s="131">
        <v>0.92214286327362061</v>
      </c>
    </row>
    <row r="144" spans="1:5">
      <c r="A144" s="132">
        <v>1742</v>
      </c>
      <c r="B144" s="131">
        <v>0.61504882574081421</v>
      </c>
      <c r="C144" s="131">
        <v>0.51500380039215088</v>
      </c>
      <c r="D144" s="131">
        <v>0.83250373601913452</v>
      </c>
      <c r="E144" s="131">
        <v>0.98118126392364502</v>
      </c>
    </row>
    <row r="145" spans="1:5">
      <c r="A145" s="132">
        <v>1743</v>
      </c>
      <c r="B145" s="131">
        <v>0.66254580020904541</v>
      </c>
      <c r="C145" s="131">
        <v>0.59899753332138062</v>
      </c>
      <c r="D145" s="131">
        <v>0.81641072034835815</v>
      </c>
      <c r="E145" s="131">
        <v>0.92801082134246826</v>
      </c>
    </row>
    <row r="146" spans="1:5">
      <c r="A146" s="132">
        <v>1744</v>
      </c>
      <c r="B146" s="131">
        <v>0.68033140897750854</v>
      </c>
      <c r="C146" s="131">
        <v>0.57594305276870728</v>
      </c>
      <c r="D146" s="131">
        <v>0.85649150609970093</v>
      </c>
      <c r="E146" s="131">
        <v>0.9475058913230896</v>
      </c>
    </row>
    <row r="147" spans="1:5">
      <c r="A147" s="132">
        <v>1745</v>
      </c>
      <c r="B147" s="131">
        <v>0.70546233654022217</v>
      </c>
      <c r="C147" s="131">
        <v>0.7086712121963501</v>
      </c>
      <c r="D147" s="131">
        <v>0.96474230289459229</v>
      </c>
      <c r="E147" s="131">
        <v>0.96368700265884399</v>
      </c>
    </row>
    <row r="148" spans="1:5">
      <c r="A148" s="132">
        <v>1746</v>
      </c>
      <c r="B148" s="131">
        <v>0.63170963525772095</v>
      </c>
      <c r="C148" s="131">
        <v>0.65993106365203857</v>
      </c>
      <c r="D148" s="131">
        <v>0.73137253522872925</v>
      </c>
      <c r="E148" s="131">
        <v>1.0212838649749756</v>
      </c>
    </row>
    <row r="149" spans="1:5">
      <c r="A149" s="132">
        <v>1747</v>
      </c>
      <c r="B149" s="131">
        <v>0.7716362476348877</v>
      </c>
      <c r="C149" s="131">
        <v>0.54412096738815308</v>
      </c>
      <c r="D149" s="131">
        <v>0.61976915597915649</v>
      </c>
      <c r="E149" s="131">
        <v>0.9279402494430542</v>
      </c>
    </row>
    <row r="150" spans="1:5">
      <c r="A150" s="132">
        <v>1748</v>
      </c>
      <c r="B150" s="131">
        <v>0.88227218389511108</v>
      </c>
      <c r="C150" s="131">
        <v>0.53194588422775269</v>
      </c>
      <c r="D150" s="131">
        <v>0.6570281982421875</v>
      </c>
      <c r="E150" s="131">
        <v>0.95633542537689209</v>
      </c>
    </row>
    <row r="151" spans="1:5">
      <c r="A151" s="132">
        <v>1749</v>
      </c>
      <c r="B151" s="131">
        <v>0.71715980768203735</v>
      </c>
      <c r="C151" s="131">
        <v>0.66744345426559448</v>
      </c>
      <c r="D151" s="131">
        <v>0.73520183563232422</v>
      </c>
      <c r="E151" s="131">
        <v>0.92472285032272339</v>
      </c>
    </row>
    <row r="152" spans="1:5">
      <c r="A152" s="132">
        <v>1750</v>
      </c>
      <c r="B152" s="131">
        <v>0.68639469146728516</v>
      </c>
      <c r="C152" s="131">
        <v>0.61537885665893555</v>
      </c>
      <c r="D152" s="131">
        <v>0.66676920652389526</v>
      </c>
      <c r="E152" s="131">
        <v>0.84527337551116943</v>
      </c>
    </row>
    <row r="153" spans="1:5">
      <c r="A153" s="132">
        <v>1751</v>
      </c>
      <c r="B153" s="131">
        <v>0.71144753694534302</v>
      </c>
      <c r="C153" s="131">
        <v>0.59154438972473145</v>
      </c>
      <c r="D153" s="131">
        <v>0.60805761814117432</v>
      </c>
      <c r="E153" s="131">
        <v>0.79895162582397461</v>
      </c>
    </row>
    <row r="154" spans="1:5">
      <c r="A154" s="132">
        <v>1752</v>
      </c>
      <c r="B154" s="131">
        <v>0.69060081243515015</v>
      </c>
      <c r="C154" s="131">
        <v>0.58716470003128052</v>
      </c>
      <c r="D154" s="131">
        <v>0.65511959791183472</v>
      </c>
      <c r="E154" s="131">
        <v>0.94401091337203979</v>
      </c>
    </row>
    <row r="155" spans="1:5">
      <c r="A155" s="132">
        <v>1753</v>
      </c>
      <c r="B155" s="131">
        <v>0.75057297945022583</v>
      </c>
      <c r="C155" s="131">
        <v>0.65368282794952393</v>
      </c>
      <c r="D155" s="131">
        <v>0.83693194389343262</v>
      </c>
      <c r="E155" s="131">
        <v>1.0854437351226807</v>
      </c>
    </row>
    <row r="156" spans="1:5">
      <c r="A156" s="132">
        <v>1754</v>
      </c>
      <c r="B156" s="131">
        <v>0.71178591251373291</v>
      </c>
      <c r="C156" s="131">
        <v>0.61321204900741577</v>
      </c>
      <c r="D156" s="131">
        <v>0.85182309150695801</v>
      </c>
      <c r="E156" s="131">
        <v>1.1280632019042969</v>
      </c>
    </row>
    <row r="157" spans="1:5">
      <c r="A157" s="132">
        <v>1755</v>
      </c>
      <c r="B157" s="131">
        <v>0.76059412956237793</v>
      </c>
      <c r="C157" s="131">
        <v>0.62144464254379272</v>
      </c>
      <c r="D157" s="131">
        <v>0.74518048763275146</v>
      </c>
      <c r="E157" s="131">
        <v>1.0114036798477173</v>
      </c>
    </row>
    <row r="158" spans="1:5">
      <c r="A158" s="132">
        <v>1756</v>
      </c>
      <c r="B158" s="131">
        <v>0.92575430870056152</v>
      </c>
      <c r="C158" s="131">
        <v>0.60367006063461304</v>
      </c>
      <c r="D158" s="131">
        <v>0.7122684121131897</v>
      </c>
      <c r="E158" s="131">
        <v>1.0455818176269531</v>
      </c>
    </row>
    <row r="159" spans="1:5">
      <c r="A159" s="132">
        <v>1757</v>
      </c>
      <c r="B159" s="131">
        <v>0.74997007846832275</v>
      </c>
      <c r="C159" s="131">
        <v>0.63623088598251343</v>
      </c>
      <c r="D159" s="131">
        <v>0.82187217473983765</v>
      </c>
      <c r="E159" s="131">
        <v>0.94490933418273926</v>
      </c>
    </row>
    <row r="160" spans="1:5">
      <c r="A160" s="132">
        <v>1758</v>
      </c>
      <c r="B160" s="131">
        <v>0.73011672496795654</v>
      </c>
      <c r="C160" s="131">
        <v>0.56556278467178345</v>
      </c>
      <c r="D160" s="131">
        <v>0.78074109554290771</v>
      </c>
      <c r="E160" s="131">
        <v>0.83655905723571777</v>
      </c>
    </row>
    <row r="161" spans="1:5">
      <c r="A161" s="132">
        <v>1759</v>
      </c>
      <c r="B161" s="131">
        <v>0.63482385873794556</v>
      </c>
      <c r="C161" s="131">
        <v>0.5852542519569397</v>
      </c>
      <c r="D161" s="131">
        <v>0.69490557909011841</v>
      </c>
      <c r="E161" s="131">
        <v>0.85823339223861694</v>
      </c>
    </row>
    <row r="162" spans="1:5">
      <c r="A162" s="132">
        <v>1760</v>
      </c>
      <c r="B162" s="131">
        <v>0.72657251358032227</v>
      </c>
      <c r="C162" s="131">
        <v>0.57406163215637207</v>
      </c>
      <c r="D162" s="131">
        <v>0.79114001989364624</v>
      </c>
      <c r="E162" s="131">
        <v>0.96935302019119263</v>
      </c>
    </row>
    <row r="163" spans="1:5">
      <c r="A163" s="132">
        <v>1761</v>
      </c>
      <c r="B163" s="131">
        <v>0.86878389120101929</v>
      </c>
      <c r="C163" s="131">
        <v>0.59324491024017334</v>
      </c>
      <c r="D163" s="131">
        <v>0.84307283163070679</v>
      </c>
      <c r="E163" s="131">
        <v>1.0445225238800049</v>
      </c>
    </row>
    <row r="164" spans="1:5">
      <c r="A164" s="132">
        <v>1762</v>
      </c>
      <c r="B164" s="131">
        <v>0.8473275899887085</v>
      </c>
      <c r="C164" s="131">
        <v>0.60665810108184814</v>
      </c>
      <c r="D164" s="131">
        <v>0.87465929985046387</v>
      </c>
      <c r="E164" s="131">
        <v>1.0698771476745605</v>
      </c>
    </row>
    <row r="165" spans="1:5">
      <c r="A165" s="132">
        <v>1763</v>
      </c>
      <c r="B165" s="131">
        <v>0.78827935457229614</v>
      </c>
      <c r="C165" s="131">
        <v>0.57598650455474854</v>
      </c>
      <c r="D165" s="131">
        <v>0.81886136531829834</v>
      </c>
      <c r="E165" s="131">
        <v>0.87485897541046143</v>
      </c>
    </row>
    <row r="166" spans="1:5">
      <c r="A166" s="132">
        <v>1764</v>
      </c>
      <c r="B166" s="131">
        <v>0.79051017761230469</v>
      </c>
      <c r="C166" s="131">
        <v>0.51830357313156128</v>
      </c>
      <c r="D166" s="131">
        <v>0.7023005485534668</v>
      </c>
      <c r="E166" s="131">
        <v>0.80832397937774658</v>
      </c>
    </row>
    <row r="167" spans="1:5">
      <c r="A167" s="132">
        <v>1765</v>
      </c>
      <c r="B167" s="131">
        <v>0.79573112726211548</v>
      </c>
      <c r="C167" s="131">
        <v>0.54487025737762451</v>
      </c>
      <c r="D167" s="131">
        <v>0.72131603956222534</v>
      </c>
      <c r="E167" s="131">
        <v>0.86442685127258301</v>
      </c>
    </row>
    <row r="168" spans="1:5">
      <c r="A168" s="132">
        <v>1766</v>
      </c>
      <c r="B168" s="131">
        <v>0.69308203458786011</v>
      </c>
      <c r="C168" s="131">
        <v>0.53797703981399536</v>
      </c>
      <c r="D168" s="131">
        <v>0.71222877502441406</v>
      </c>
      <c r="E168" s="131">
        <v>0.75270229578018188</v>
      </c>
    </row>
    <row r="169" spans="1:5">
      <c r="A169" s="132">
        <v>1767</v>
      </c>
      <c r="B169" s="131">
        <v>0.66413587331771851</v>
      </c>
      <c r="C169" s="131">
        <v>0.46300727128982544</v>
      </c>
      <c r="D169" s="131">
        <v>0.6272127628326416</v>
      </c>
      <c r="E169" s="131">
        <v>0.81955134868621826</v>
      </c>
    </row>
    <row r="170" spans="1:5">
      <c r="A170" s="132">
        <v>1768</v>
      </c>
      <c r="B170" s="131">
        <v>0.63175332546234131</v>
      </c>
      <c r="C170" s="131">
        <v>0.47213825583457947</v>
      </c>
      <c r="D170" s="131">
        <v>0.68255424499511719</v>
      </c>
      <c r="E170" s="131">
        <v>0.91188335418701172</v>
      </c>
    </row>
    <row r="171" spans="1:5">
      <c r="A171" s="132">
        <v>1769</v>
      </c>
      <c r="B171" s="131">
        <v>0.63446766138076782</v>
      </c>
      <c r="C171" s="131">
        <v>0.49877315759658813</v>
      </c>
      <c r="D171" s="131">
        <v>0.74646210670471191</v>
      </c>
      <c r="E171" s="131">
        <v>0.97968560457229614</v>
      </c>
    </row>
    <row r="172" spans="1:5">
      <c r="A172" s="132">
        <v>1770</v>
      </c>
      <c r="B172" s="131">
        <v>0.67508894205093384</v>
      </c>
      <c r="C172" s="131">
        <v>0.55644315481185913</v>
      </c>
      <c r="D172" s="131">
        <v>0.66176682710647583</v>
      </c>
      <c r="E172" s="131">
        <v>0.93217301368713379</v>
      </c>
    </row>
    <row r="173" spans="1:5">
      <c r="A173" s="132">
        <v>1771</v>
      </c>
      <c r="B173" s="131">
        <v>0.63763386011123657</v>
      </c>
      <c r="C173" s="131">
        <v>0.58942717313766479</v>
      </c>
      <c r="D173" s="131">
        <v>0.67151284217834473</v>
      </c>
      <c r="E173" s="131">
        <v>0.87714296579360962</v>
      </c>
    </row>
    <row r="174" spans="1:5">
      <c r="A174" s="132">
        <v>1772</v>
      </c>
      <c r="B174" s="131">
        <v>0.52948468923568726</v>
      </c>
      <c r="C174" s="131">
        <v>0.51780074834823608</v>
      </c>
      <c r="D174" s="131">
        <v>0.59661060571670532</v>
      </c>
      <c r="E174" s="131">
        <v>0.79703593254089355</v>
      </c>
    </row>
    <row r="175" spans="1:5">
      <c r="A175" s="132">
        <v>1773</v>
      </c>
      <c r="B175" s="131">
        <v>0.55965137481689453</v>
      </c>
      <c r="C175" s="131">
        <v>0.42937853932380676</v>
      </c>
      <c r="D175" s="131">
        <v>0.54765689373016357</v>
      </c>
      <c r="E175" s="131">
        <v>0.7671884298324585</v>
      </c>
    </row>
    <row r="176" spans="1:5">
      <c r="A176" s="132">
        <v>1774</v>
      </c>
      <c r="B176" s="131">
        <v>0.55114501714706421</v>
      </c>
      <c r="C176" s="131">
        <v>0.49908396601676941</v>
      </c>
      <c r="D176" s="131">
        <v>0.5491141676902771</v>
      </c>
      <c r="E176" s="131">
        <v>0.71975630521774292</v>
      </c>
    </row>
    <row r="177" spans="1:5">
      <c r="A177" s="132">
        <v>1775</v>
      </c>
      <c r="B177" s="131">
        <v>0.60381072759628296</v>
      </c>
      <c r="C177" s="131">
        <v>0.4541381299495697</v>
      </c>
      <c r="D177" s="131">
        <v>0.46635410189628601</v>
      </c>
      <c r="E177" s="131">
        <v>0.83771556615829468</v>
      </c>
    </row>
    <row r="178" spans="1:5">
      <c r="A178" s="132">
        <v>1776</v>
      </c>
      <c r="B178" s="131">
        <v>0.65951311588287354</v>
      </c>
      <c r="C178" s="131">
        <v>0.51723259687423706</v>
      </c>
      <c r="D178" s="131">
        <v>0.61846309900283813</v>
      </c>
      <c r="E178" s="131">
        <v>0.8930855393409729</v>
      </c>
    </row>
    <row r="179" spans="1:5">
      <c r="A179" s="132">
        <v>1777</v>
      </c>
      <c r="B179" s="131">
        <v>0.50682401657104492</v>
      </c>
      <c r="C179" s="131">
        <v>0.46924009919166565</v>
      </c>
      <c r="D179" s="131">
        <v>0.56740975379943848</v>
      </c>
      <c r="E179" s="131">
        <v>0.81477183103561401</v>
      </c>
    </row>
    <row r="180" spans="1:5">
      <c r="A180" s="132">
        <v>1778</v>
      </c>
      <c r="B180" s="131">
        <v>0.64392250776290894</v>
      </c>
      <c r="C180" s="131">
        <v>0.46279150247573853</v>
      </c>
      <c r="D180" s="131">
        <v>0.49140715599060059</v>
      </c>
      <c r="E180" s="131">
        <v>0.8255121111869812</v>
      </c>
    </row>
    <row r="181" spans="1:5">
      <c r="A181" s="132">
        <v>1779</v>
      </c>
      <c r="B181" s="131">
        <v>0.66990792751312256</v>
      </c>
      <c r="C181" s="131">
        <v>0.48032966256141663</v>
      </c>
      <c r="D181" s="131">
        <v>0.51803332567214966</v>
      </c>
      <c r="E181" s="131">
        <v>0.85685646533966064</v>
      </c>
    </row>
    <row r="182" spans="1:5">
      <c r="A182" s="132">
        <v>1780</v>
      </c>
      <c r="B182" s="131">
        <v>0.67159152030944824</v>
      </c>
      <c r="C182" s="131">
        <v>0.49743720889091492</v>
      </c>
      <c r="D182" s="131">
        <v>0.62080782651901245</v>
      </c>
      <c r="E182" s="131">
        <v>0.94017082452774048</v>
      </c>
    </row>
    <row r="183" spans="1:5">
      <c r="A183" s="132">
        <v>1781</v>
      </c>
      <c r="B183" s="131">
        <v>0.64910995960235596</v>
      </c>
      <c r="C183" s="131">
        <v>0.55715018510818481</v>
      </c>
      <c r="D183" s="131">
        <v>0.54460316896438599</v>
      </c>
      <c r="E183" s="131">
        <v>0.89696735143661499</v>
      </c>
    </row>
    <row r="184" spans="1:5">
      <c r="A184" s="132">
        <v>1782</v>
      </c>
      <c r="B184" s="131">
        <v>0.55429643392562866</v>
      </c>
      <c r="C184" s="131">
        <v>0.52563148736953735</v>
      </c>
      <c r="D184" s="131">
        <v>0.47888222336769104</v>
      </c>
      <c r="E184" s="131">
        <v>0.86139011383056641</v>
      </c>
    </row>
    <row r="185" spans="1:5">
      <c r="A185" s="132">
        <v>1783</v>
      </c>
      <c r="B185" s="131">
        <v>0.59943509101867676</v>
      </c>
      <c r="C185" s="131">
        <v>0.50165659189224243</v>
      </c>
      <c r="D185" s="131">
        <v>0.46068564057350159</v>
      </c>
      <c r="E185" s="131">
        <v>0.90141546726226807</v>
      </c>
    </row>
    <row r="186" spans="1:5">
      <c r="A186" s="132">
        <v>1784</v>
      </c>
      <c r="B186" s="131">
        <v>0.54459446668624878</v>
      </c>
      <c r="C186" s="131">
        <v>0.55648171901702881</v>
      </c>
      <c r="D186" s="131">
        <v>0.56868094205856323</v>
      </c>
      <c r="E186" s="131">
        <v>0.91323810815811157</v>
      </c>
    </row>
    <row r="187" spans="1:5">
      <c r="A187" s="132">
        <v>1785</v>
      </c>
      <c r="B187" s="131">
        <v>0.60250562429428101</v>
      </c>
      <c r="C187" s="131">
        <v>0.58898591995239258</v>
      </c>
      <c r="D187" s="131">
        <v>0.50585645437240601</v>
      </c>
      <c r="E187" s="131">
        <v>1.0117769241333008</v>
      </c>
    </row>
    <row r="188" spans="1:5">
      <c r="A188" s="132">
        <v>1786</v>
      </c>
      <c r="B188" s="131">
        <v>0.62745743989944458</v>
      </c>
      <c r="C188" s="131">
        <v>0.59703606367111206</v>
      </c>
      <c r="D188" s="131">
        <v>0.57228147983551025</v>
      </c>
      <c r="E188" s="131">
        <v>0.94686895608901978</v>
      </c>
    </row>
    <row r="189" spans="1:5">
      <c r="A189" s="132">
        <v>1787</v>
      </c>
      <c r="B189" s="131">
        <v>0.64371681213378906</v>
      </c>
      <c r="C189" s="131">
        <v>0.59292769432067871</v>
      </c>
      <c r="D189" s="131">
        <v>0.56372809410095215</v>
      </c>
    </row>
    <row r="190" spans="1:5">
      <c r="A190" s="132">
        <v>1788</v>
      </c>
      <c r="B190" s="131">
        <v>0.63678330183029175</v>
      </c>
      <c r="C190" s="131">
        <v>0.56777453422546387</v>
      </c>
      <c r="D190" s="131">
        <v>0.57973331212997437</v>
      </c>
    </row>
    <row r="191" spans="1:5">
      <c r="A191" s="132">
        <v>1789</v>
      </c>
      <c r="B191" s="131">
        <v>0.65498918294906616</v>
      </c>
      <c r="C191" s="131">
        <v>0.55449646711349487</v>
      </c>
      <c r="D191" s="131">
        <v>0.53637635707855225</v>
      </c>
    </row>
    <row r="192" spans="1:5">
      <c r="A192" s="132">
        <v>1790</v>
      </c>
      <c r="B192" s="131">
        <v>0.6400303840637207</v>
      </c>
      <c r="C192" s="131">
        <v>0.51932579278945923</v>
      </c>
      <c r="D192" s="131">
        <v>0.5970073938369751</v>
      </c>
    </row>
    <row r="193" spans="1:4">
      <c r="A193" s="132">
        <v>1791</v>
      </c>
      <c r="B193" s="131">
        <v>0.68627762794494629</v>
      </c>
      <c r="C193" s="131">
        <v>0.42753750085830688</v>
      </c>
      <c r="D193" s="131">
        <v>0.57129186391830444</v>
      </c>
    </row>
    <row r="194" spans="1:4">
      <c r="A194" s="132">
        <v>1792</v>
      </c>
      <c r="B194" s="131">
        <v>0.63710540533065796</v>
      </c>
      <c r="C194" s="131">
        <v>0.42117825150489807</v>
      </c>
      <c r="D194" s="131">
        <v>0.55655890703201294</v>
      </c>
    </row>
    <row r="195" spans="1:4">
      <c r="A195" s="132">
        <v>1793</v>
      </c>
      <c r="B195" s="131">
        <v>0.57926970720291138</v>
      </c>
      <c r="C195" s="131">
        <v>0.40467372536659241</v>
      </c>
      <c r="D195" s="131">
        <v>0.47389551997184753</v>
      </c>
    </row>
    <row r="196" spans="1:4">
      <c r="A196" s="132">
        <v>1794</v>
      </c>
      <c r="B196" s="131">
        <v>0.55837303400039673</v>
      </c>
      <c r="C196" s="131">
        <v>0.38464522361755371</v>
      </c>
      <c r="D196" s="131">
        <v>0.43491065502166748</v>
      </c>
    </row>
    <row r="197" spans="1:4">
      <c r="A197" s="132">
        <v>1795</v>
      </c>
      <c r="B197" s="131">
        <v>0.52159124612808228</v>
      </c>
      <c r="C197" s="131">
        <v>0.3547370433807373</v>
      </c>
      <c r="D197" s="131">
        <v>0.43069958686828613</v>
      </c>
    </row>
    <row r="198" spans="1:4">
      <c r="A198" s="132">
        <v>1796</v>
      </c>
      <c r="B198" s="131">
        <v>0.56107950210571289</v>
      </c>
      <c r="C198" s="131">
        <v>0.39730289578437805</v>
      </c>
      <c r="D198" s="131">
        <v>0.44270676374435425</v>
      </c>
    </row>
    <row r="199" spans="1:4">
      <c r="A199" s="132">
        <v>1797</v>
      </c>
      <c r="B199" s="131">
        <v>0.64279645681381226</v>
      </c>
      <c r="C199" s="131">
        <v>0.36337998509407043</v>
      </c>
      <c r="D199" s="131">
        <v>0.39194247126579285</v>
      </c>
    </row>
    <row r="200" spans="1:4">
      <c r="A200" s="132">
        <v>1798</v>
      </c>
      <c r="B200" s="131">
        <v>0.54025936126708984</v>
      </c>
      <c r="C200" s="131">
        <v>0.3276723325252533</v>
      </c>
      <c r="D200" s="131">
        <v>0.38137906789779663</v>
      </c>
    </row>
    <row r="201" spans="1:4">
      <c r="A201" s="132">
        <v>1799</v>
      </c>
      <c r="B201" s="131">
        <v>0.4315534234046936</v>
      </c>
      <c r="C201" s="131">
        <v>0.33779293298721313</v>
      </c>
      <c r="D201" s="131">
        <v>0.36412426829338074</v>
      </c>
    </row>
    <row r="202" spans="1:4">
      <c r="A202" s="132">
        <v>1800</v>
      </c>
      <c r="B202" s="131">
        <v>0.40140822529792786</v>
      </c>
      <c r="C202" s="131">
        <v>0.25475206971168518</v>
      </c>
      <c r="D202" s="131">
        <v>0.24772442877292633</v>
      </c>
    </row>
    <row r="203" spans="1:4">
      <c r="A203" s="132">
        <v>1801</v>
      </c>
      <c r="B203" s="131">
        <v>0.41493585705757141</v>
      </c>
      <c r="C203" s="131">
        <v>0.28556627035140991</v>
      </c>
      <c r="D203" s="131">
        <v>0.26140481233596802</v>
      </c>
    </row>
    <row r="204" spans="1:4">
      <c r="A204" s="132">
        <v>1802</v>
      </c>
      <c r="B204" s="131">
        <v>0.47220483422279358</v>
      </c>
      <c r="C204" s="131">
        <v>0.41986089944839478</v>
      </c>
      <c r="D204" s="131">
        <v>0.43848216533660889</v>
      </c>
    </row>
    <row r="205" spans="1:4">
      <c r="A205" s="132">
        <v>1803</v>
      </c>
      <c r="B205" s="131">
        <v>0.55365675687789917</v>
      </c>
      <c r="C205" s="131">
        <v>0.4595324695110321</v>
      </c>
      <c r="D205" s="131">
        <v>0.4686393141746521</v>
      </c>
    </row>
    <row r="206" spans="1:4">
      <c r="A206" s="132">
        <v>1804</v>
      </c>
      <c r="B206" s="131">
        <v>0.62155723571777344</v>
      </c>
      <c r="C206" s="131">
        <v>0.49947163462638855</v>
      </c>
      <c r="D206" s="131">
        <v>0.56393152475357056</v>
      </c>
    </row>
    <row r="207" spans="1:4">
      <c r="A207" s="132">
        <v>1805</v>
      </c>
      <c r="B207" s="131">
        <v>0.58986902236938477</v>
      </c>
      <c r="C207" s="131">
        <v>0.46124753355979919</v>
      </c>
      <c r="D207" s="131">
        <v>0.5568397045135498</v>
      </c>
    </row>
    <row r="208" spans="1:4">
      <c r="A208" s="132">
        <v>1806</v>
      </c>
      <c r="B208" s="131">
        <v>0.57463175058364868</v>
      </c>
      <c r="C208" s="131">
        <v>0.48520180583000183</v>
      </c>
      <c r="D208" s="131">
        <v>0.52399605512619019</v>
      </c>
    </row>
    <row r="209" spans="1:4">
      <c r="A209" s="132">
        <v>1807</v>
      </c>
      <c r="B209" s="131">
        <v>0.56406712532043457</v>
      </c>
      <c r="C209" s="131">
        <v>0.51764076948165894</v>
      </c>
      <c r="D209" s="131">
        <v>0.52996832132339478</v>
      </c>
    </row>
    <row r="210" spans="1:4">
      <c r="A210" s="132">
        <v>1808</v>
      </c>
      <c r="B210" s="131">
        <v>0.58594048023223877</v>
      </c>
      <c r="C210" s="131">
        <v>0.52816659212112427</v>
      </c>
      <c r="D210" s="131">
        <v>0.52657634019851685</v>
      </c>
    </row>
    <row r="211" spans="1:4">
      <c r="A211" s="132">
        <v>1809</v>
      </c>
      <c r="B211" s="131">
        <v>0.62824565172195435</v>
      </c>
      <c r="C211" s="131">
        <v>0.53932398557662964</v>
      </c>
      <c r="D211" s="131">
        <v>0.54169631004333496</v>
      </c>
    </row>
    <row r="212" spans="1:4">
      <c r="A212" s="132">
        <v>1810</v>
      </c>
      <c r="B212" s="131">
        <v>0.51402932405471802</v>
      </c>
      <c r="C212" s="131">
        <v>0.47703760862350464</v>
      </c>
      <c r="D212" s="131">
        <v>0.44820860028266907</v>
      </c>
    </row>
    <row r="213" spans="1:4">
      <c r="A213" s="132">
        <v>1811</v>
      </c>
      <c r="B213" s="131">
        <v>0.41499587893486023</v>
      </c>
      <c r="C213" s="131">
        <v>0.42023125290870667</v>
      </c>
      <c r="D213" s="131">
        <v>0.38611286878585815</v>
      </c>
    </row>
    <row r="214" spans="1:4">
      <c r="A214" s="132">
        <v>1812</v>
      </c>
      <c r="B214" s="131">
        <v>0.42570966482162476</v>
      </c>
      <c r="C214" s="131">
        <v>0.44120469689369202</v>
      </c>
      <c r="D214" s="131">
        <v>0.42484104633331299</v>
      </c>
    </row>
    <row r="215" spans="1:4">
      <c r="A215" s="132">
        <v>1813</v>
      </c>
      <c r="B215" s="131">
        <v>0.47278112173080444</v>
      </c>
      <c r="C215" s="131">
        <v>0.5676039457321167</v>
      </c>
      <c r="D215" s="131">
        <v>0.60202819108963013</v>
      </c>
    </row>
    <row r="216" spans="1:4">
      <c r="A216" s="132">
        <v>1814</v>
      </c>
      <c r="B216" s="131">
        <v>0.56062889099121094</v>
      </c>
      <c r="C216" s="131">
        <v>0.51899033784866333</v>
      </c>
      <c r="D216" s="131">
        <v>0.58669638633728027</v>
      </c>
    </row>
    <row r="217" spans="1:4">
      <c r="A217" s="132">
        <v>1815</v>
      </c>
      <c r="B217" s="131">
        <v>0.42835515737533569</v>
      </c>
      <c r="C217" s="131">
        <v>0.54786217212677002</v>
      </c>
      <c r="D217" s="131">
        <v>0.3787263035774231</v>
      </c>
    </row>
    <row r="218" spans="1:4">
      <c r="A218" s="132">
        <v>1816</v>
      </c>
      <c r="B218" s="131">
        <v>0.44645550847053528</v>
      </c>
      <c r="C218" s="131">
        <v>0.43114352226257324</v>
      </c>
      <c r="D218" s="131">
        <v>0.3426419198513031</v>
      </c>
    </row>
    <row r="219" spans="1:4">
      <c r="A219" s="132">
        <v>1817</v>
      </c>
      <c r="B219" s="131">
        <v>0.46585920453071594</v>
      </c>
      <c r="C219" s="131">
        <v>0.51015257835388184</v>
      </c>
      <c r="D219" s="131">
        <v>0.34333464503288269</v>
      </c>
    </row>
    <row r="220" spans="1:4">
      <c r="A220" s="132">
        <v>1818</v>
      </c>
      <c r="B220" s="131">
        <v>0.62764954566955566</v>
      </c>
      <c r="C220" s="131">
        <v>0.59141963720321655</v>
      </c>
      <c r="D220" s="131">
        <v>0.49775627255439758</v>
      </c>
    </row>
    <row r="221" spans="1:4">
      <c r="A221" s="132">
        <v>1819</v>
      </c>
      <c r="B221" s="131">
        <v>0.59573096036911011</v>
      </c>
      <c r="C221" s="131">
        <v>0.73238843679428101</v>
      </c>
      <c r="D221" s="131">
        <v>0.7312512993812561</v>
      </c>
    </row>
    <row r="222" spans="1:4">
      <c r="A222" s="132">
        <v>1820</v>
      </c>
      <c r="B222" s="131">
        <v>0.51646506786346436</v>
      </c>
      <c r="C222" s="131">
        <v>0.60366421937942505</v>
      </c>
      <c r="D222" s="131">
        <v>0.70072662830352783</v>
      </c>
    </row>
    <row r="223" spans="1:4">
      <c r="A223" s="132">
        <v>1821</v>
      </c>
      <c r="B223" s="131">
        <v>0.59595441818237305</v>
      </c>
      <c r="C223" s="131">
        <v>0.71687948703765869</v>
      </c>
      <c r="D223" s="131">
        <v>0.65166640281677246</v>
      </c>
    </row>
    <row r="224" spans="1:4">
      <c r="A224" s="132">
        <v>1822</v>
      </c>
      <c r="B224" s="131">
        <v>0.55862605571746826</v>
      </c>
      <c r="C224" s="131">
        <v>0.66056478023529053</v>
      </c>
      <c r="D224" s="131">
        <v>0.70703035593032837</v>
      </c>
    </row>
    <row r="225" spans="1:4">
      <c r="A225" s="132">
        <v>1823</v>
      </c>
      <c r="B225" s="131">
        <v>0.57117772102355957</v>
      </c>
      <c r="C225" s="131">
        <v>0.74548512697219849</v>
      </c>
      <c r="D225" s="131">
        <v>0.72030097246170044</v>
      </c>
    </row>
    <row r="226" spans="1:4">
      <c r="A226" s="132">
        <v>1824</v>
      </c>
      <c r="B226" s="131">
        <v>0.66139322519302368</v>
      </c>
      <c r="C226" s="131">
        <v>0.82135874032974243</v>
      </c>
      <c r="D226" s="131">
        <v>0.77862149477005005</v>
      </c>
    </row>
    <row r="227" spans="1:4">
      <c r="A227" s="132">
        <v>1825</v>
      </c>
      <c r="B227" s="131">
        <v>0.64245641231536865</v>
      </c>
      <c r="C227" s="131">
        <v>0.73723644018173218</v>
      </c>
      <c r="D227" s="131">
        <v>0.74039584398269653</v>
      </c>
    </row>
    <row r="228" spans="1:4">
      <c r="A228" s="132">
        <v>1826</v>
      </c>
      <c r="B228" s="131">
        <v>0.38711801171302795</v>
      </c>
      <c r="C228" s="131">
        <v>0.45240870118141174</v>
      </c>
      <c r="D228" s="131">
        <v>0.7988283634185791</v>
      </c>
    </row>
    <row r="229" spans="1:4">
      <c r="A229" s="132">
        <v>1827</v>
      </c>
      <c r="B229" s="131">
        <v>0.60606223344802856</v>
      </c>
      <c r="C229" s="131">
        <v>0.77006381750106812</v>
      </c>
      <c r="D229" s="131">
        <v>0.75817447900772095</v>
      </c>
    </row>
    <row r="230" spans="1:4">
      <c r="A230" s="132">
        <v>1828</v>
      </c>
      <c r="B230" s="131">
        <v>0.59386998414993286</v>
      </c>
      <c r="C230" s="131">
        <v>0.67369359731674194</v>
      </c>
      <c r="D230" s="131">
        <v>0.66021168231964111</v>
      </c>
    </row>
    <row r="231" spans="1:4">
      <c r="A231" s="132">
        <v>1829</v>
      </c>
      <c r="B231" s="131">
        <v>0.62301844358444214</v>
      </c>
      <c r="C231" s="131">
        <v>0.62983989715576172</v>
      </c>
      <c r="D231" s="131">
        <v>0.63876235485076904</v>
      </c>
    </row>
    <row r="232" spans="1:4">
      <c r="A232" s="132">
        <v>1830</v>
      </c>
      <c r="B232" s="131">
        <v>0.73036110401153564</v>
      </c>
      <c r="C232" s="131">
        <v>0.72941887378692627</v>
      </c>
      <c r="D232" s="131">
        <v>0.70359396934509277</v>
      </c>
    </row>
    <row r="233" spans="1:4">
      <c r="A233" s="132">
        <v>1831</v>
      </c>
      <c r="B233" s="131">
        <v>0.74229121208190918</v>
      </c>
      <c r="C233" s="131">
        <v>0.73603355884552002</v>
      </c>
      <c r="D233" s="131">
        <v>0.64602816104888916</v>
      </c>
    </row>
    <row r="234" spans="1:4">
      <c r="A234" s="132">
        <v>1832</v>
      </c>
      <c r="B234" s="131">
        <v>0.74165266752243042</v>
      </c>
      <c r="C234" s="131">
        <v>0.73573821783065796</v>
      </c>
      <c r="D234" s="131">
        <v>0.68444442749023438</v>
      </c>
    </row>
    <row r="235" spans="1:4">
      <c r="A235" s="132">
        <v>1833</v>
      </c>
      <c r="B235" s="131">
        <v>0.76853770017623901</v>
      </c>
      <c r="C235" s="131">
        <v>0.77225357294082642</v>
      </c>
      <c r="D235" s="131">
        <v>0.68714237213134766</v>
      </c>
    </row>
    <row r="236" spans="1:4">
      <c r="A236" s="132">
        <v>1834</v>
      </c>
      <c r="B236" s="131">
        <v>0.75467109680175781</v>
      </c>
      <c r="C236" s="131">
        <v>0.80812126398086548</v>
      </c>
      <c r="D236" s="131">
        <v>0.72432100772857666</v>
      </c>
    </row>
    <row r="237" spans="1:4">
      <c r="A237" s="132">
        <v>1835</v>
      </c>
      <c r="B237" s="131">
        <v>0.72189408540725708</v>
      </c>
      <c r="C237" s="131">
        <v>0.79895299673080444</v>
      </c>
      <c r="D237" s="131">
        <v>0.71535569429397583</v>
      </c>
    </row>
    <row r="238" spans="1:4">
      <c r="A238" s="132">
        <v>1836</v>
      </c>
      <c r="B238" s="131">
        <v>0.75749623775482178</v>
      </c>
      <c r="C238" s="131">
        <v>0.75418198108673096</v>
      </c>
      <c r="D238" s="131">
        <v>0.61598265171051025</v>
      </c>
    </row>
    <row r="239" spans="1:4">
      <c r="A239" s="132">
        <v>1837</v>
      </c>
      <c r="B239" s="131">
        <v>0.69947367906570435</v>
      </c>
      <c r="C239" s="131">
        <v>0.72773343324661255</v>
      </c>
      <c r="D239" s="131">
        <v>0.55046159029006958</v>
      </c>
    </row>
    <row r="240" spans="1:4">
      <c r="A240" s="132">
        <v>1838</v>
      </c>
      <c r="B240" s="131">
        <v>0.68519610166549683</v>
      </c>
      <c r="C240" s="131">
        <v>0.7027580738067627</v>
      </c>
      <c r="D240" s="131">
        <v>0.59615564346313477</v>
      </c>
    </row>
    <row r="241" spans="1:4">
      <c r="A241" s="132">
        <v>1839</v>
      </c>
      <c r="B241" s="131">
        <v>0.64992827177047729</v>
      </c>
      <c r="C241" s="131">
        <v>0.69516479969024658</v>
      </c>
      <c r="D241" s="131">
        <v>0.56076216697692871</v>
      </c>
    </row>
    <row r="242" spans="1:4">
      <c r="A242" s="132">
        <v>1840</v>
      </c>
      <c r="B242" s="131">
        <v>0.66942745447158813</v>
      </c>
      <c r="C242" s="131">
        <v>0.69722676277160645</v>
      </c>
      <c r="D242" s="131">
        <v>0.54603809118270874</v>
      </c>
    </row>
    <row r="243" spans="1:4">
      <c r="A243" s="132">
        <v>1841</v>
      </c>
      <c r="B243" s="131">
        <v>0.71218132972717285</v>
      </c>
      <c r="C243" s="131">
        <v>0.74249207973480225</v>
      </c>
      <c r="D243" s="131">
        <v>0.63493877649307251</v>
      </c>
    </row>
    <row r="244" spans="1:4">
      <c r="A244" s="132">
        <v>1842</v>
      </c>
      <c r="B244" s="131">
        <v>0.71680057048797607</v>
      </c>
      <c r="C244" s="131">
        <v>0.75968587398529053</v>
      </c>
      <c r="D244" s="131">
        <v>0.64202010631561279</v>
      </c>
    </row>
    <row r="245" spans="1:4">
      <c r="A245" s="132">
        <v>1843</v>
      </c>
      <c r="B245" s="131">
        <v>0.74404036998748779</v>
      </c>
      <c r="C245" s="131">
        <v>0.76228141784667969</v>
      </c>
      <c r="D245" s="131">
        <v>0.60804325342178345</v>
      </c>
    </row>
    <row r="246" spans="1:4">
      <c r="A246" s="132">
        <v>1844</v>
      </c>
      <c r="B246" s="131">
        <v>0.74608606100082397</v>
      </c>
      <c r="C246" s="131">
        <v>0.77045083045959473</v>
      </c>
      <c r="D246" s="131">
        <v>0.59863990545272827</v>
      </c>
    </row>
    <row r="247" spans="1:4">
      <c r="A247" s="132">
        <v>1845</v>
      </c>
      <c r="B247" s="131">
        <v>0.8175310492515564</v>
      </c>
      <c r="C247" s="131">
        <v>0.82182770967483521</v>
      </c>
      <c r="D247" s="131">
        <v>0.62044739723205566</v>
      </c>
    </row>
    <row r="248" spans="1:4">
      <c r="A248" s="132">
        <v>1846</v>
      </c>
      <c r="B248" s="131">
        <v>0.70664781332015991</v>
      </c>
      <c r="C248" s="131">
        <v>0.73155957460403442</v>
      </c>
      <c r="D248" s="131">
        <v>0.59757465124130249</v>
      </c>
    </row>
    <row r="249" spans="1:4">
      <c r="A249" s="132">
        <v>1847</v>
      </c>
      <c r="B249" s="131">
        <v>0.66497915983200073</v>
      </c>
      <c r="C249" s="131">
        <v>0.73578035831451416</v>
      </c>
      <c r="D249" s="131">
        <v>0.53822368383407593</v>
      </c>
    </row>
    <row r="250" spans="1:4">
      <c r="A250" s="132">
        <v>1848</v>
      </c>
      <c r="B250" s="131">
        <v>0.71516400575637817</v>
      </c>
      <c r="C250" s="131">
        <v>0.73459905385971069</v>
      </c>
      <c r="D250" s="131">
        <v>0.62006622552871704</v>
      </c>
    </row>
    <row r="251" spans="1:4">
      <c r="A251" s="132">
        <v>1849</v>
      </c>
      <c r="B251" s="131">
        <v>0.78033202886581421</v>
      </c>
      <c r="C251" s="131">
        <v>0.82171130180358887</v>
      </c>
      <c r="D251" s="131">
        <v>0.62946075201034546</v>
      </c>
    </row>
    <row r="252" spans="1:4">
      <c r="A252" s="132">
        <v>1850</v>
      </c>
      <c r="B252" s="131">
        <v>0.82956981658935547</v>
      </c>
      <c r="C252" s="131">
        <v>0.87831425666809082</v>
      </c>
      <c r="D252" s="131">
        <v>0.64370298385620117</v>
      </c>
    </row>
    <row r="253" spans="1:4">
      <c r="A253" s="132">
        <v>1851</v>
      </c>
      <c r="B253" s="131">
        <v>0.7835383415222168</v>
      </c>
      <c r="C253" s="131">
        <v>0.60140699148178101</v>
      </c>
      <c r="D253" s="131">
        <v>0.63896381855010986</v>
      </c>
    </row>
    <row r="254" spans="1:4">
      <c r="A254" s="132">
        <v>1852</v>
      </c>
      <c r="B254" s="131">
        <v>0.76103019714355469</v>
      </c>
      <c r="C254" s="131">
        <v>0.76684379577636719</v>
      </c>
      <c r="D254" s="131">
        <v>0.59900099039077759</v>
      </c>
    </row>
    <row r="255" spans="1:4">
      <c r="A255" s="132">
        <v>1853</v>
      </c>
      <c r="B255" s="131">
        <v>0.63949364423751831</v>
      </c>
      <c r="C255" s="131">
        <v>0.70600235462188721</v>
      </c>
      <c r="D255" s="131">
        <v>0.53095716238021851</v>
      </c>
    </row>
    <row r="256" spans="1:4">
      <c r="A256" s="132">
        <v>1854</v>
      </c>
      <c r="B256" s="131">
        <v>0.46697145700454712</v>
      </c>
      <c r="C256" s="131">
        <v>0.46817004680633545</v>
      </c>
      <c r="D256" s="131">
        <v>0.40873757004737854</v>
      </c>
    </row>
    <row r="257" spans="1:4">
      <c r="A257" s="132">
        <v>1855</v>
      </c>
      <c r="B257" s="131">
        <v>0.46423622965812683</v>
      </c>
      <c r="C257" s="131">
        <v>0.54379624128341675</v>
      </c>
      <c r="D257" s="131">
        <v>0.44325205683708191</v>
      </c>
    </row>
    <row r="258" spans="1:4">
      <c r="A258" s="132">
        <v>1856</v>
      </c>
      <c r="B258" s="131">
        <v>0.49624696373939514</v>
      </c>
      <c r="C258" s="131">
        <v>0.59245461225509644</v>
      </c>
      <c r="D258" s="131">
        <v>0.45974579453468323</v>
      </c>
    </row>
    <row r="259" spans="1:4">
      <c r="A259" s="132">
        <v>1857</v>
      </c>
      <c r="B259" s="131">
        <v>0.53465718030929565</v>
      </c>
      <c r="C259" s="131">
        <v>0.58716565370559692</v>
      </c>
      <c r="D259" s="131">
        <v>0.50480818748474121</v>
      </c>
    </row>
    <row r="260" spans="1:4">
      <c r="A260" s="132">
        <v>1858</v>
      </c>
      <c r="B260" s="131">
        <v>0.58477920293807983</v>
      </c>
      <c r="C260" s="131">
        <v>0.7641226053237915</v>
      </c>
      <c r="D260" s="131">
        <v>0.5809255838394165</v>
      </c>
    </row>
    <row r="261" spans="1:4">
      <c r="A261" s="132">
        <v>1859</v>
      </c>
      <c r="B261" s="131">
        <v>0.55610674619674683</v>
      </c>
      <c r="C261" s="131">
        <v>0.78114885091781616</v>
      </c>
      <c r="D261" s="131">
        <v>0.66903012990951538</v>
      </c>
    </row>
    <row r="262" spans="1:4">
      <c r="A262" s="132">
        <v>1860</v>
      </c>
      <c r="B262" s="131">
        <v>0.51647353172302246</v>
      </c>
      <c r="C262" s="131">
        <v>0.75122857093811035</v>
      </c>
      <c r="D262" s="131">
        <v>0.54940235614776611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44F5-61AF-4BA0-87AE-8658EFF154F8}">
  <dimension ref="B2:E103"/>
  <sheetViews>
    <sheetView topLeftCell="A66" workbookViewId="0">
      <selection activeCell="B2" sqref="B2:C103"/>
    </sheetView>
  </sheetViews>
  <sheetFormatPr defaultRowHeight="14.25"/>
  <sheetData>
    <row r="2" spans="2:5">
      <c r="B2" t="s">
        <v>295</v>
      </c>
      <c r="C2" t="s">
        <v>563</v>
      </c>
      <c r="D2" t="s">
        <v>566</v>
      </c>
      <c r="E2" t="s">
        <v>567</v>
      </c>
    </row>
    <row r="3" spans="2:5">
      <c r="B3">
        <v>1700</v>
      </c>
      <c r="C3" s="88">
        <v>151.93488677996274</v>
      </c>
      <c r="D3" s="88"/>
      <c r="E3" s="88"/>
    </row>
    <row r="4" spans="2:5">
      <c r="B4">
        <v>1701</v>
      </c>
      <c r="C4" s="88">
        <v>149.2267800969868</v>
      </c>
      <c r="D4" s="88"/>
      <c r="E4" s="88"/>
    </row>
    <row r="5" spans="2:5">
      <c r="B5">
        <v>1702</v>
      </c>
      <c r="C5" s="88">
        <v>146.57591397347366</v>
      </c>
      <c r="D5" s="88"/>
      <c r="E5" s="88"/>
    </row>
    <row r="6" spans="2:5">
      <c r="B6">
        <v>1703</v>
      </c>
      <c r="C6" s="88">
        <v>161.99202503148518</v>
      </c>
      <c r="D6" s="88"/>
      <c r="E6" s="88"/>
    </row>
    <row r="7" spans="2:5">
      <c r="B7">
        <v>1704</v>
      </c>
      <c r="C7" s="88">
        <v>136.04963329320117</v>
      </c>
      <c r="D7" s="88"/>
      <c r="E7" s="88"/>
    </row>
    <row r="8" spans="2:5">
      <c r="B8">
        <v>1705</v>
      </c>
      <c r="C8" s="88">
        <v>142.62394869396502</v>
      </c>
      <c r="D8" s="88"/>
      <c r="E8" s="88"/>
    </row>
    <row r="9" spans="2:5">
      <c r="B9">
        <v>1706</v>
      </c>
      <c r="C9" s="88">
        <v>141.13666848016965</v>
      </c>
      <c r="D9" s="88"/>
      <c r="E9" s="88"/>
    </row>
    <row r="10" spans="2:5">
      <c r="B10">
        <v>1707</v>
      </c>
      <c r="C10" s="88">
        <v>147.80972550095953</v>
      </c>
      <c r="D10" s="88"/>
      <c r="E10" s="88"/>
    </row>
    <row r="11" spans="2:5">
      <c r="B11">
        <v>1708</v>
      </c>
      <c r="C11" s="88">
        <v>179.72860346387452</v>
      </c>
      <c r="D11" s="88"/>
      <c r="E11" s="88"/>
    </row>
    <row r="12" spans="2:5">
      <c r="B12">
        <v>1709</v>
      </c>
      <c r="C12" s="88">
        <v>203.08837097185045</v>
      </c>
      <c r="D12" s="88"/>
      <c r="E12" s="88"/>
    </row>
    <row r="13" spans="2:5">
      <c r="B13">
        <v>1710</v>
      </c>
      <c r="C13" s="88">
        <v>175.52739133815896</v>
      </c>
      <c r="D13" s="88"/>
      <c r="E13" s="88"/>
    </row>
    <row r="14" spans="2:5">
      <c r="B14">
        <v>1711</v>
      </c>
      <c r="C14" s="88">
        <v>168.2370275591955</v>
      </c>
      <c r="D14" s="88"/>
      <c r="E14" s="88"/>
    </row>
    <row r="15" spans="2:5">
      <c r="B15">
        <v>1712</v>
      </c>
      <c r="C15" s="88">
        <v>161.366322131804</v>
      </c>
      <c r="D15" s="88"/>
      <c r="E15" s="88"/>
    </row>
    <row r="16" spans="2:5">
      <c r="B16">
        <v>1713</v>
      </c>
      <c r="C16" s="88">
        <v>168.91782347249213</v>
      </c>
      <c r="D16" s="88"/>
      <c r="E16" s="88"/>
    </row>
    <row r="17" spans="2:5">
      <c r="B17">
        <v>1714</v>
      </c>
      <c r="C17" s="88">
        <v>152.9078233643057</v>
      </c>
      <c r="D17" s="88"/>
      <c r="E17" s="88"/>
    </row>
    <row r="18" spans="2:5">
      <c r="B18">
        <v>1715</v>
      </c>
      <c r="C18" s="88">
        <v>161.59366530751967</v>
      </c>
      <c r="D18" s="88"/>
      <c r="E18" s="88"/>
    </row>
    <row r="19" spans="2:5">
      <c r="B19">
        <v>1716</v>
      </c>
      <c r="C19" s="88">
        <v>160.28206432979991</v>
      </c>
      <c r="D19" s="88"/>
      <c r="E19" s="88"/>
    </row>
    <row r="20" spans="2:5">
      <c r="B20">
        <v>1717</v>
      </c>
      <c r="C20" s="88">
        <v>151.24121365679417</v>
      </c>
      <c r="D20" s="88"/>
      <c r="E20" s="88"/>
    </row>
    <row r="21" spans="2:5">
      <c r="B21">
        <v>1718</v>
      </c>
      <c r="C21" s="88">
        <v>143.41937719915742</v>
      </c>
      <c r="D21" s="88"/>
      <c r="E21" s="88"/>
    </row>
    <row r="22" spans="2:5">
      <c r="B22">
        <v>1719</v>
      </c>
      <c r="C22" s="88">
        <v>151.42840145779573</v>
      </c>
      <c r="D22" s="88"/>
      <c r="E22" s="88"/>
    </row>
    <row r="23" spans="2:5">
      <c r="B23">
        <v>1720</v>
      </c>
      <c r="C23" s="88">
        <v>153.40100185230165</v>
      </c>
      <c r="D23" s="88"/>
      <c r="E23" s="88"/>
    </row>
    <row r="24" spans="2:5">
      <c r="B24">
        <v>1721</v>
      </c>
      <c r="C24" s="88">
        <v>148.87396235039725</v>
      </c>
      <c r="D24" s="88"/>
      <c r="E24" s="88"/>
    </row>
    <row r="25" spans="2:5">
      <c r="B25">
        <v>1722</v>
      </c>
      <c r="C25" s="88">
        <v>151.31199078113528</v>
      </c>
      <c r="D25" s="88"/>
      <c r="E25" s="88"/>
    </row>
    <row r="26" spans="2:5">
      <c r="B26">
        <v>1723</v>
      </c>
      <c r="C26" s="88">
        <v>153.03562710783149</v>
      </c>
      <c r="D26" s="88"/>
      <c r="E26" s="88"/>
    </row>
    <row r="27" spans="2:5">
      <c r="B27">
        <v>1724</v>
      </c>
      <c r="C27" s="88">
        <v>160.79957310863139</v>
      </c>
      <c r="D27" s="88"/>
      <c r="E27" s="88"/>
    </row>
    <row r="28" spans="2:5">
      <c r="B28">
        <v>1725</v>
      </c>
      <c r="C28" s="88">
        <v>169.22718810215841</v>
      </c>
      <c r="D28" s="88"/>
      <c r="E28" s="88"/>
    </row>
    <row r="29" spans="2:5">
      <c r="B29">
        <v>1726</v>
      </c>
      <c r="C29" s="88">
        <v>158.03675927541718</v>
      </c>
      <c r="D29" s="88"/>
      <c r="E29" s="88">
        <v>123.62962342500001</v>
      </c>
    </row>
    <row r="30" spans="2:5">
      <c r="B30">
        <v>1727</v>
      </c>
      <c r="C30" s="88">
        <v>176.5482853122021</v>
      </c>
      <c r="D30" s="88"/>
      <c r="E30" s="88"/>
    </row>
    <row r="31" spans="2:5">
      <c r="B31">
        <v>1728</v>
      </c>
      <c r="C31" s="88">
        <v>172.99003894571413</v>
      </c>
      <c r="D31" s="88">
        <v>353</v>
      </c>
      <c r="E31" s="88"/>
    </row>
    <row r="32" spans="2:5">
      <c r="B32">
        <v>1729</v>
      </c>
      <c r="C32" s="88">
        <v>152.05632787494264</v>
      </c>
      <c r="D32" s="88"/>
      <c r="E32" s="88"/>
    </row>
    <row r="33" spans="2:5">
      <c r="B33">
        <v>1730</v>
      </c>
      <c r="C33" s="88">
        <v>147.40621276865508</v>
      </c>
      <c r="D33" s="88"/>
      <c r="E33" s="88"/>
    </row>
    <row r="34" spans="2:5">
      <c r="B34">
        <v>1731</v>
      </c>
      <c r="C34" s="88">
        <v>140.3368478968379</v>
      </c>
      <c r="D34" s="88"/>
      <c r="E34" s="88"/>
    </row>
    <row r="35" spans="2:5">
      <c r="B35">
        <v>1732</v>
      </c>
      <c r="C35" s="88">
        <v>141.30198652949557</v>
      </c>
      <c r="D35" s="88"/>
      <c r="E35" s="88"/>
    </row>
    <row r="36" spans="2:5">
      <c r="B36">
        <v>1733</v>
      </c>
      <c r="C36" s="88">
        <v>148.62719626038867</v>
      </c>
      <c r="D36" s="88"/>
      <c r="E36" s="88"/>
    </row>
    <row r="37" spans="2:5">
      <c r="B37">
        <v>1734</v>
      </c>
      <c r="C37" s="88">
        <v>153.44757552457347</v>
      </c>
      <c r="D37" s="88"/>
      <c r="E37" s="88"/>
    </row>
    <row r="38" spans="2:5">
      <c r="B38">
        <v>1735</v>
      </c>
      <c r="C38" s="88">
        <v>141.96909064787673</v>
      </c>
      <c r="D38" s="88"/>
      <c r="E38" s="88"/>
    </row>
    <row r="39" spans="2:5">
      <c r="B39">
        <v>1736</v>
      </c>
      <c r="C39" s="88">
        <v>143.54735137273565</v>
      </c>
      <c r="D39" s="88"/>
      <c r="E39" s="88"/>
    </row>
    <row r="40" spans="2:5">
      <c r="B40">
        <v>1737</v>
      </c>
      <c r="C40" s="88">
        <v>137.40902227506723</v>
      </c>
      <c r="D40" s="88"/>
      <c r="E40" s="88"/>
    </row>
    <row r="41" spans="2:5">
      <c r="B41">
        <v>1738</v>
      </c>
      <c r="C41" s="88">
        <v>141.36299946792207</v>
      </c>
      <c r="D41" s="88">
        <v>313.5794814782609</v>
      </c>
      <c r="E41" s="88"/>
    </row>
    <row r="42" spans="2:5">
      <c r="B42">
        <v>1739</v>
      </c>
      <c r="C42" s="88">
        <v>158.53310279383305</v>
      </c>
      <c r="D42" s="88"/>
      <c r="E42" s="88"/>
    </row>
    <row r="43" spans="2:5">
      <c r="B43">
        <v>1740</v>
      </c>
      <c r="C43" s="88">
        <v>164.62787897365769</v>
      </c>
      <c r="D43" s="88"/>
      <c r="E43" s="88"/>
    </row>
    <row r="44" spans="2:5">
      <c r="B44">
        <v>1741</v>
      </c>
      <c r="C44" s="88">
        <v>143.64944153682956</v>
      </c>
      <c r="D44" s="88"/>
      <c r="E44" s="88">
        <v>100.17122325000001</v>
      </c>
    </row>
    <row r="45" spans="2:5">
      <c r="B45">
        <v>1742</v>
      </c>
      <c r="C45" s="88">
        <v>134.898361688271</v>
      </c>
      <c r="D45" s="88"/>
      <c r="E45" s="88"/>
    </row>
    <row r="46" spans="2:5">
      <c r="B46">
        <v>1743</v>
      </c>
      <c r="C46" s="88">
        <v>144.61473520502727</v>
      </c>
      <c r="D46" s="88"/>
      <c r="E46" s="88"/>
    </row>
    <row r="47" spans="2:5">
      <c r="B47">
        <v>1744</v>
      </c>
      <c r="C47" s="88">
        <v>132.83958506014579</v>
      </c>
      <c r="D47" s="88"/>
      <c r="E47" s="88"/>
    </row>
    <row r="48" spans="2:5">
      <c r="B48">
        <v>1745</v>
      </c>
      <c r="C48" s="88">
        <v>144.14963044635587</v>
      </c>
      <c r="D48" s="88"/>
      <c r="E48" s="88"/>
    </row>
    <row r="49" spans="2:5">
      <c r="B49">
        <v>1746</v>
      </c>
      <c r="C49" s="88">
        <v>144.28942106110156</v>
      </c>
      <c r="D49" s="88"/>
      <c r="E49" s="88"/>
    </row>
    <row r="50" spans="2:5">
      <c r="B50">
        <v>1747</v>
      </c>
      <c r="C50" s="88">
        <v>142.99240214543406</v>
      </c>
      <c r="D50" s="88"/>
      <c r="E50" s="88"/>
    </row>
    <row r="51" spans="2:5">
      <c r="B51">
        <v>1748</v>
      </c>
      <c r="C51" s="88">
        <v>144.37947737259279</v>
      </c>
      <c r="D51" s="88"/>
      <c r="E51" s="88"/>
    </row>
    <row r="52" spans="2:5">
      <c r="B52">
        <v>1749</v>
      </c>
      <c r="C52" s="88">
        <v>143.09160972485316</v>
      </c>
      <c r="D52" s="88"/>
      <c r="E52" s="88"/>
    </row>
    <row r="53" spans="2:5">
      <c r="B53">
        <v>1750</v>
      </c>
      <c r="C53" s="88">
        <v>129.29353664804512</v>
      </c>
      <c r="D53" s="88"/>
      <c r="E53" s="88"/>
    </row>
    <row r="54" spans="2:5">
      <c r="B54">
        <v>1751</v>
      </c>
      <c r="C54" s="88">
        <v>146.57351607143741</v>
      </c>
      <c r="D54" s="88"/>
      <c r="E54" s="88"/>
    </row>
    <row r="55" spans="2:5">
      <c r="B55">
        <v>1752</v>
      </c>
      <c r="C55" s="88">
        <v>148.59951904403766</v>
      </c>
      <c r="D55" s="88"/>
      <c r="E55" s="88"/>
    </row>
    <row r="56" spans="2:5">
      <c r="B56">
        <v>1753</v>
      </c>
      <c r="C56" s="88">
        <v>146.45695877037514</v>
      </c>
      <c r="D56" s="88"/>
      <c r="E56" s="88"/>
    </row>
    <row r="57" spans="2:5">
      <c r="B57">
        <v>1754</v>
      </c>
      <c r="C57" s="88">
        <v>139.54561713245749</v>
      </c>
      <c r="D57" s="88"/>
      <c r="E57" s="88"/>
    </row>
    <row r="58" spans="2:5">
      <c r="B58">
        <v>1755</v>
      </c>
      <c r="C58" s="88">
        <v>147.72173822363948</v>
      </c>
      <c r="D58" s="88"/>
      <c r="E58" s="88"/>
    </row>
    <row r="59" spans="2:5">
      <c r="B59">
        <v>1756</v>
      </c>
      <c r="C59" s="88">
        <v>177.78987269348249</v>
      </c>
      <c r="D59" s="88"/>
      <c r="E59" s="88"/>
    </row>
    <row r="60" spans="2:5">
      <c r="B60">
        <v>1757</v>
      </c>
      <c r="C60" s="88">
        <v>165.07579990719137</v>
      </c>
      <c r="D60" s="88"/>
      <c r="E60" s="88"/>
    </row>
    <row r="61" spans="2:5">
      <c r="B61">
        <v>1758</v>
      </c>
      <c r="C61" s="88">
        <v>153.54669759497273</v>
      </c>
      <c r="D61" s="88"/>
      <c r="E61" s="88"/>
    </row>
    <row r="62" spans="2:5">
      <c r="B62">
        <v>1759</v>
      </c>
      <c r="C62" s="88">
        <v>145.80511547887656</v>
      </c>
      <c r="D62" s="88"/>
      <c r="E62" s="88"/>
    </row>
    <row r="63" spans="2:5">
      <c r="B63">
        <v>1760</v>
      </c>
      <c r="C63" s="88">
        <v>145.24428170889968</v>
      </c>
      <c r="D63" s="88"/>
      <c r="E63" s="88"/>
    </row>
    <row r="64" spans="2:5">
      <c r="B64">
        <v>1761</v>
      </c>
      <c r="C64" s="88">
        <v>137.04367902046224</v>
      </c>
      <c r="D64" s="88"/>
      <c r="E64" s="88"/>
    </row>
    <row r="65" spans="2:5">
      <c r="B65">
        <v>1762</v>
      </c>
      <c r="C65" s="88">
        <v>144.19296767780887</v>
      </c>
      <c r="D65" s="88">
        <v>315.11412712499992</v>
      </c>
      <c r="E65" s="88">
        <v>52.519021187499987</v>
      </c>
    </row>
    <row r="66" spans="2:5">
      <c r="B66">
        <v>1763</v>
      </c>
      <c r="C66" s="88">
        <v>147.12140924960136</v>
      </c>
      <c r="D66" s="88"/>
      <c r="E66" s="88"/>
    </row>
    <row r="67" spans="2:5">
      <c r="B67">
        <v>1764</v>
      </c>
      <c r="C67" s="88">
        <v>157.2723797582324</v>
      </c>
      <c r="D67" s="88"/>
      <c r="E67" s="88"/>
    </row>
    <row r="68" spans="2:5">
      <c r="B68">
        <v>1765</v>
      </c>
      <c r="C68" s="88">
        <v>171.26278354275934</v>
      </c>
      <c r="D68" s="88"/>
      <c r="E68" s="88"/>
    </row>
    <row r="69" spans="2:5">
      <c r="B69">
        <v>1766</v>
      </c>
      <c r="C69" s="88">
        <v>166.8739905243053</v>
      </c>
      <c r="D69" s="88"/>
      <c r="E69" s="88"/>
    </row>
    <row r="70" spans="2:5">
      <c r="B70">
        <v>1767</v>
      </c>
      <c r="C70" s="88">
        <v>184.80110459325522</v>
      </c>
      <c r="D70" s="88">
        <v>490.7267594459999</v>
      </c>
      <c r="E70" s="88">
        <v>153.35211232687499</v>
      </c>
    </row>
    <row r="71" spans="2:5">
      <c r="B71">
        <v>1768</v>
      </c>
      <c r="C71" s="88">
        <v>179.78347527224383</v>
      </c>
      <c r="D71" s="88"/>
      <c r="E71" s="88"/>
    </row>
    <row r="72" spans="2:5">
      <c r="B72">
        <v>1769</v>
      </c>
      <c r="C72" s="88">
        <v>163.15807171776265</v>
      </c>
      <c r="D72" s="88"/>
      <c r="E72" s="88"/>
    </row>
    <row r="73" spans="2:5">
      <c r="B73">
        <v>1770</v>
      </c>
      <c r="C73" s="88">
        <v>166.27595765807533</v>
      </c>
      <c r="D73" s="88"/>
      <c r="E73" s="88"/>
    </row>
    <row r="74" spans="2:5">
      <c r="B74">
        <v>1771</v>
      </c>
      <c r="C74" s="88">
        <v>178.15733400885389</v>
      </c>
      <c r="D74" s="88"/>
      <c r="E74" s="88"/>
    </row>
    <row r="75" spans="2:5">
      <c r="B75">
        <v>1772</v>
      </c>
      <c r="C75" s="88">
        <v>194.20825838523459</v>
      </c>
      <c r="D75" s="88"/>
      <c r="E75" s="88"/>
    </row>
    <row r="76" spans="2:5">
      <c r="B76">
        <v>1773</v>
      </c>
      <c r="C76" s="88">
        <v>194.29209940960834</v>
      </c>
      <c r="D76" s="88"/>
      <c r="E76" s="88"/>
    </row>
    <row r="77" spans="2:5">
      <c r="B77">
        <v>1774</v>
      </c>
      <c r="C77" s="88">
        <v>190.42213770079829</v>
      </c>
      <c r="D77" s="88"/>
      <c r="E77" s="88"/>
    </row>
    <row r="78" spans="2:5">
      <c r="B78">
        <v>1775</v>
      </c>
      <c r="C78" s="88">
        <v>189.19242570463834</v>
      </c>
      <c r="D78" s="88"/>
      <c r="E78" s="88"/>
    </row>
    <row r="79" spans="2:5">
      <c r="B79">
        <v>1776</v>
      </c>
      <c r="C79" s="88">
        <v>176.30209286952376</v>
      </c>
      <c r="D79" s="88"/>
      <c r="E79" s="88"/>
    </row>
    <row r="80" spans="2:5">
      <c r="B80">
        <v>1777</v>
      </c>
      <c r="C80" s="88">
        <v>189.35588642443452</v>
      </c>
      <c r="D80" s="88">
        <v>104</v>
      </c>
      <c r="E80" s="88">
        <v>75.988577296346151</v>
      </c>
    </row>
    <row r="81" spans="2:5">
      <c r="B81">
        <v>1778</v>
      </c>
      <c r="C81" s="88">
        <v>183.66010301812855</v>
      </c>
      <c r="D81" s="88"/>
      <c r="E81" s="88"/>
    </row>
    <row r="82" spans="2:5">
      <c r="B82">
        <v>1779</v>
      </c>
      <c r="C82" s="88">
        <v>173.11245368907095</v>
      </c>
      <c r="D82" s="88"/>
      <c r="E82" s="88"/>
    </row>
    <row r="83" spans="2:5">
      <c r="B83">
        <v>1780</v>
      </c>
      <c r="C83" s="88">
        <v>170.45898351299292</v>
      </c>
      <c r="D83" s="88"/>
      <c r="E83" s="88"/>
    </row>
    <row r="84" spans="2:5">
      <c r="B84">
        <v>1781</v>
      </c>
      <c r="C84" s="88">
        <v>183.50175093187798</v>
      </c>
      <c r="D84" s="88"/>
      <c r="E84" s="88"/>
    </row>
    <row r="85" spans="2:5">
      <c r="B85">
        <v>1782</v>
      </c>
      <c r="C85" s="88">
        <v>184.62841020821497</v>
      </c>
      <c r="D85" s="88"/>
      <c r="E85" s="88"/>
    </row>
    <row r="86" spans="2:5">
      <c r="B86">
        <v>1783</v>
      </c>
      <c r="C86" s="88">
        <v>189.31242809701718</v>
      </c>
      <c r="D86" s="88"/>
      <c r="E86" s="88"/>
    </row>
    <row r="87" spans="2:5">
      <c r="B87">
        <v>1784</v>
      </c>
      <c r="C87" s="88">
        <v>185.70717009091157</v>
      </c>
      <c r="D87" s="88"/>
      <c r="E87" s="88"/>
    </row>
    <row r="88" spans="2:5">
      <c r="B88">
        <v>1785</v>
      </c>
      <c r="C88" s="88">
        <v>179.26523755384179</v>
      </c>
      <c r="D88" s="88"/>
      <c r="E88" s="88"/>
    </row>
    <row r="89" spans="2:5">
      <c r="B89">
        <v>1786</v>
      </c>
      <c r="C89" s="88">
        <v>174.01718421786421</v>
      </c>
      <c r="D89" s="88">
        <v>318.05303569086919</v>
      </c>
      <c r="E89" s="88"/>
    </row>
    <row r="90" spans="2:5">
      <c r="B90">
        <v>1787</v>
      </c>
      <c r="C90" s="88">
        <v>175.90351332791784</v>
      </c>
      <c r="D90" s="88">
        <v>299.06518190031773</v>
      </c>
      <c r="E90" s="88"/>
    </row>
    <row r="91" spans="2:5">
      <c r="B91">
        <v>1788</v>
      </c>
      <c r="C91" s="88">
        <v>181.37687399305858</v>
      </c>
      <c r="D91" s="88">
        <v>267.8131030352302</v>
      </c>
      <c r="E91" s="88"/>
    </row>
    <row r="92" spans="2:5">
      <c r="B92">
        <v>1789</v>
      </c>
      <c r="C92" s="88">
        <v>190.19692620788359</v>
      </c>
      <c r="D92" s="88"/>
      <c r="E92" s="88">
        <v>150.86804804317967</v>
      </c>
    </row>
    <row r="93" spans="2:5">
      <c r="B93">
        <v>1790</v>
      </c>
      <c r="C93" s="88">
        <v>192.74581317242516</v>
      </c>
      <c r="D93" s="88"/>
      <c r="E93" s="88"/>
    </row>
    <row r="94" spans="2:5">
      <c r="B94">
        <v>1791</v>
      </c>
      <c r="C94" s="88">
        <v>185.78441706642525</v>
      </c>
      <c r="D94" s="88"/>
      <c r="E94" s="88"/>
    </row>
    <row r="95" spans="2:5">
      <c r="B95">
        <v>1792</v>
      </c>
      <c r="C95" s="88">
        <v>183.25742134090078</v>
      </c>
      <c r="D95" s="88"/>
      <c r="E95" s="88"/>
    </row>
    <row r="96" spans="2:5">
      <c r="B96">
        <v>1793</v>
      </c>
      <c r="C96" s="88">
        <v>181.46800946289699</v>
      </c>
      <c r="D96" s="88">
        <v>376.94399584925389</v>
      </c>
      <c r="E96" s="88"/>
    </row>
    <row r="97" spans="2:5">
      <c r="B97">
        <v>1794</v>
      </c>
      <c r="C97" s="88">
        <v>194.85019558149176</v>
      </c>
      <c r="D97" s="88">
        <v>157.86886382286923</v>
      </c>
      <c r="E97" s="88"/>
    </row>
    <row r="98" spans="2:5">
      <c r="B98">
        <v>1795</v>
      </c>
      <c r="C98" s="88">
        <v>212.72860212347825</v>
      </c>
      <c r="D98" s="88"/>
      <c r="E98" s="88"/>
    </row>
    <row r="99" spans="2:5">
      <c r="B99">
        <v>1796</v>
      </c>
      <c r="C99" s="88">
        <v>202.35830333947925</v>
      </c>
      <c r="D99" s="88">
        <v>205.34724736462499</v>
      </c>
      <c r="E99" s="88">
        <v>93.339657893011349</v>
      </c>
    </row>
    <row r="100" spans="2:5">
      <c r="B100">
        <v>1797</v>
      </c>
      <c r="C100" s="88">
        <v>178.31317530330017</v>
      </c>
      <c r="D100" s="88"/>
      <c r="E100" s="88"/>
    </row>
    <row r="101" spans="2:5">
      <c r="B101">
        <v>1798</v>
      </c>
      <c r="C101" s="88">
        <v>173.23797436007808</v>
      </c>
      <c r="D101" s="88">
        <v>402.9378651450001</v>
      </c>
      <c r="E101" s="88"/>
    </row>
    <row r="102" spans="2:5">
      <c r="B102">
        <v>1799</v>
      </c>
      <c r="C102" s="88">
        <v>177.50998418502797</v>
      </c>
      <c r="D102" s="88"/>
      <c r="E102" s="88"/>
    </row>
    <row r="103" spans="2:5">
      <c r="B103">
        <v>1800</v>
      </c>
      <c r="C103" s="88">
        <v>235.82675734517971</v>
      </c>
      <c r="D103" s="88">
        <v>220.63385334461535</v>
      </c>
      <c r="E103" s="88">
        <v>82.607882617260799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9DB7-D47B-47EC-9F8B-83C8E16A3657}">
  <dimension ref="A1:W88"/>
  <sheetViews>
    <sheetView workbookViewId="0">
      <pane ySplit="1" topLeftCell="A2" activePane="bottomLeft" state="frozen"/>
      <selection pane="bottomLeft" activeCell="F1" sqref="F1:R1048576"/>
    </sheetView>
  </sheetViews>
  <sheetFormatPr defaultRowHeight="14.25"/>
  <cols>
    <col min="1" max="1" width="6.53125" style="2" bestFit="1" customWidth="1"/>
    <col min="2" max="2" width="9" style="2" hidden="1" customWidth="1"/>
    <col min="3" max="3" width="8" style="2" hidden="1" customWidth="1"/>
    <col min="4" max="4" width="7.59765625" style="2" hidden="1" customWidth="1"/>
    <col min="5" max="5" width="8" style="2" hidden="1" customWidth="1"/>
    <col min="6" max="6" width="9.9296875" style="221" customWidth="1"/>
    <col min="7" max="7" width="9.9296875" style="219" hidden="1" customWidth="1"/>
    <col min="8" max="8" width="11" style="218" hidden="1" customWidth="1"/>
    <col min="9" max="9" width="11.796875" style="218" hidden="1" customWidth="1"/>
    <col min="10" max="10" width="7.796875" style="218" hidden="1" customWidth="1"/>
    <col min="11" max="11" width="12.46484375" style="221" customWidth="1"/>
    <col min="12" max="12" width="9.06640625" style="219" hidden="1" customWidth="1"/>
    <col min="13" max="13" width="13.19921875" style="218" hidden="1" customWidth="1"/>
    <col min="14" max="14" width="9.53125" style="218" hidden="1" customWidth="1"/>
    <col min="15" max="15" width="10" style="219" customWidth="1"/>
    <col min="16" max="16" width="10.06640625" style="218" hidden="1" customWidth="1"/>
    <col min="17" max="17" width="10.796875" style="218" hidden="1" customWidth="1"/>
    <col min="18" max="18" width="9" style="88" bestFit="1" customWidth="1"/>
    <col min="19" max="19" width="5.796875" bestFit="1" customWidth="1"/>
    <col min="20" max="20" width="11.796875" bestFit="1" customWidth="1"/>
    <col min="21" max="21" width="8.46484375" bestFit="1" customWidth="1"/>
    <col min="22" max="23" width="12.46484375" customWidth="1"/>
    <col min="24" max="24" width="9.796875" customWidth="1"/>
    <col min="25" max="25" width="3.59765625" bestFit="1" customWidth="1"/>
    <col min="26" max="26" width="3.796875" bestFit="1" customWidth="1"/>
    <col min="27" max="27" width="5.59765625" bestFit="1" customWidth="1"/>
    <col min="28" max="28" width="8.06640625" bestFit="1" customWidth="1"/>
    <col min="29" max="29" width="9.53125" bestFit="1" customWidth="1"/>
    <col min="30" max="30" width="11.796875" bestFit="1" customWidth="1"/>
    <col min="31" max="31" width="4.06640625" bestFit="1" customWidth="1"/>
    <col min="32" max="32" width="5.53125" bestFit="1" customWidth="1"/>
    <col min="33" max="33" width="5.9296875" bestFit="1" customWidth="1"/>
    <col min="34" max="34" width="9.33203125" bestFit="1" customWidth="1"/>
    <col min="35" max="35" width="14.9296875" bestFit="1" customWidth="1"/>
    <col min="36" max="36" width="13.33203125" bestFit="1" customWidth="1"/>
    <col min="37" max="37" width="13.19921875" bestFit="1" customWidth="1"/>
    <col min="38" max="38" width="20.06640625" bestFit="1" customWidth="1"/>
    <col min="39" max="39" width="3.33203125" bestFit="1" customWidth="1"/>
    <col min="40" max="40" width="4.19921875" bestFit="1" customWidth="1"/>
    <col min="41" max="41" width="4" bestFit="1" customWidth="1"/>
    <col min="42" max="42" width="5" bestFit="1" customWidth="1"/>
    <col min="43" max="43" width="7.796875" bestFit="1" customWidth="1"/>
    <col min="44" max="44" width="6.9296875" bestFit="1" customWidth="1"/>
    <col min="45" max="45" width="6.796875" bestFit="1" customWidth="1"/>
    <col min="46" max="46" width="6.06640625" bestFit="1" customWidth="1"/>
    <col min="47" max="47" width="9.19921875" bestFit="1" customWidth="1"/>
    <col min="48" max="48" width="5" bestFit="1" customWidth="1"/>
    <col min="49" max="49" width="13.796875" bestFit="1" customWidth="1"/>
    <col min="50" max="50" width="4.06640625" bestFit="1" customWidth="1"/>
    <col min="51" max="51" width="5.796875" bestFit="1" customWidth="1"/>
    <col min="52" max="52" width="7.796875" bestFit="1" customWidth="1"/>
    <col min="53" max="53" width="12.06640625" bestFit="1" customWidth="1"/>
    <col min="54" max="54" width="5.53125" bestFit="1" customWidth="1"/>
    <col min="55" max="55" width="4.33203125" bestFit="1" customWidth="1"/>
    <col min="56" max="56" width="11.796875" bestFit="1" customWidth="1"/>
    <col min="57" max="57" width="5.19921875" bestFit="1" customWidth="1"/>
    <col min="58" max="58" width="10.796875" bestFit="1" customWidth="1"/>
    <col min="59" max="59" width="6.19921875" bestFit="1" customWidth="1"/>
    <col min="60" max="60" width="4.53125" bestFit="1" customWidth="1"/>
    <col min="61" max="61" width="8.06640625" bestFit="1" customWidth="1"/>
    <col min="62" max="63" width="11.796875" bestFit="1" customWidth="1"/>
    <col min="64" max="64" width="10.19921875" bestFit="1" customWidth="1"/>
    <col min="65" max="65" width="7.19921875" bestFit="1" customWidth="1"/>
    <col min="66" max="66" width="5" bestFit="1" customWidth="1"/>
    <col min="67" max="67" width="5.59765625" bestFit="1" customWidth="1"/>
    <col min="68" max="68" width="6" bestFit="1" customWidth="1"/>
    <col min="69" max="69" width="10" bestFit="1" customWidth="1"/>
    <col min="70" max="70" width="16" bestFit="1" customWidth="1"/>
    <col min="71" max="71" width="5.796875" bestFit="1" customWidth="1"/>
    <col min="72" max="72" width="5.46484375" bestFit="1" customWidth="1"/>
    <col min="73" max="73" width="11.796875" bestFit="1" customWidth="1"/>
    <col min="74" max="74" width="8.33203125" bestFit="1" customWidth="1"/>
    <col min="75" max="75" width="12.59765625" bestFit="1" customWidth="1"/>
    <col min="76" max="76" width="4.796875" bestFit="1" customWidth="1"/>
    <col min="77" max="77" width="6.796875" bestFit="1" customWidth="1"/>
    <col min="78" max="78" width="10.46484375" bestFit="1" customWidth="1"/>
    <col min="79" max="79" width="4.796875" bestFit="1" customWidth="1"/>
    <col min="80" max="80" width="6.53125" bestFit="1" customWidth="1"/>
    <col min="81" max="81" width="6.9296875" bestFit="1" customWidth="1"/>
    <col min="82" max="82" width="4.33203125" bestFit="1" customWidth="1"/>
    <col min="83" max="83" width="3.796875" bestFit="1" customWidth="1"/>
    <col min="84" max="84" width="4.796875" bestFit="1" customWidth="1"/>
    <col min="85" max="86" width="11.796875" bestFit="1" customWidth="1"/>
    <col min="87" max="87" width="7.9296875" bestFit="1" customWidth="1"/>
    <col min="88" max="88" width="8.33203125" bestFit="1" customWidth="1"/>
    <col min="89" max="89" width="6.796875" bestFit="1" customWidth="1"/>
    <col min="90" max="90" width="11.796875" bestFit="1" customWidth="1"/>
    <col min="91" max="91" width="8" bestFit="1" customWidth="1"/>
    <col min="92" max="92" width="7.46484375" bestFit="1" customWidth="1"/>
    <col min="93" max="93" width="7.19921875" bestFit="1" customWidth="1"/>
    <col min="94" max="94" width="6.19921875" bestFit="1" customWidth="1"/>
    <col min="95" max="95" width="10.33203125" bestFit="1" customWidth="1"/>
    <col min="96" max="96" width="10.53125" bestFit="1" customWidth="1"/>
    <col min="97" max="97" width="5.796875" bestFit="1" customWidth="1"/>
    <col min="98" max="98" width="5.53125" bestFit="1" customWidth="1"/>
    <col min="99" max="99" width="11.796875" bestFit="1" customWidth="1"/>
    <col min="100" max="100" width="6.796875" bestFit="1" customWidth="1"/>
    <col min="101" max="101" width="10.59765625" bestFit="1" customWidth="1"/>
    <col min="102" max="102" width="6" bestFit="1" customWidth="1"/>
    <col min="103" max="103" width="11.796875" bestFit="1" customWidth="1"/>
    <col min="104" max="104" width="5.33203125" bestFit="1" customWidth="1"/>
    <col min="105" max="105" width="8" bestFit="1" customWidth="1"/>
    <col min="106" max="106" width="6" bestFit="1" customWidth="1"/>
    <col min="107" max="107" width="3.19921875" bestFit="1" customWidth="1"/>
    <col min="108" max="108" width="3.53125" bestFit="1" customWidth="1"/>
    <col min="109" max="109" width="7.46484375" bestFit="1" customWidth="1"/>
    <col min="110" max="110" width="7.796875" bestFit="1" customWidth="1"/>
    <col min="111" max="111" width="7.19921875" bestFit="1" customWidth="1"/>
    <col min="112" max="112" width="6.9296875" bestFit="1" customWidth="1"/>
    <col min="113" max="113" width="5.9296875" bestFit="1" customWidth="1"/>
    <col min="114" max="115" width="11.796875" bestFit="1" customWidth="1"/>
    <col min="116" max="116" width="10.53125" bestFit="1" customWidth="1"/>
    <col min="117" max="117" width="10.33203125" bestFit="1" customWidth="1"/>
    <col min="118" max="118" width="4.46484375" bestFit="1" customWidth="1"/>
    <col min="119" max="119" width="11.796875" bestFit="1" customWidth="1"/>
    <col min="120" max="120" width="13" bestFit="1" customWidth="1"/>
    <col min="121" max="121" width="11.796875" bestFit="1" customWidth="1"/>
    <col min="122" max="122" width="6.796875" bestFit="1" customWidth="1"/>
    <col min="123" max="123" width="11.796875" bestFit="1" customWidth="1"/>
  </cols>
  <sheetData>
    <row r="1" spans="1:23" ht="63.5" customHeight="1">
      <c r="A1" s="37" t="s">
        <v>5</v>
      </c>
      <c r="B1" s="38" t="s">
        <v>276</v>
      </c>
      <c r="C1" s="41" t="s">
        <v>277</v>
      </c>
      <c r="D1" s="61" t="s">
        <v>278</v>
      </c>
      <c r="E1" s="38" t="s">
        <v>291</v>
      </c>
      <c r="F1" s="209" t="s">
        <v>273</v>
      </c>
      <c r="G1" s="210" t="s">
        <v>279</v>
      </c>
      <c r="H1" s="211" t="s">
        <v>280</v>
      </c>
      <c r="I1" s="211" t="s">
        <v>281</v>
      </c>
      <c r="J1" s="211" t="s">
        <v>282</v>
      </c>
      <c r="K1" s="209" t="s">
        <v>274</v>
      </c>
      <c r="L1" s="210" t="s">
        <v>283</v>
      </c>
      <c r="M1" s="211" t="s">
        <v>284</v>
      </c>
      <c r="N1" s="211" t="s">
        <v>332</v>
      </c>
      <c r="O1" s="211" t="s">
        <v>287</v>
      </c>
      <c r="P1" s="210" t="s">
        <v>285</v>
      </c>
      <c r="Q1" s="211" t="s">
        <v>286</v>
      </c>
      <c r="R1" s="211" t="s">
        <v>630</v>
      </c>
      <c r="U1" t="s">
        <v>8</v>
      </c>
      <c r="V1" t="s">
        <v>10</v>
      </c>
      <c r="W1" t="s">
        <v>11</v>
      </c>
    </row>
    <row r="2" spans="1:23">
      <c r="A2" s="37">
        <v>1706</v>
      </c>
      <c r="B2" s="38">
        <v>0.45</v>
      </c>
      <c r="C2" s="41"/>
      <c r="D2" s="61"/>
      <c r="E2" s="38"/>
      <c r="F2" s="209"/>
      <c r="G2" s="210"/>
      <c r="H2" s="211">
        <v>0.7</v>
      </c>
      <c r="I2" s="211"/>
      <c r="J2" s="211"/>
      <c r="K2" s="209"/>
      <c r="L2" s="210"/>
      <c r="M2" s="211"/>
      <c r="N2" s="211">
        <v>2</v>
      </c>
      <c r="O2" s="212">
        <f>N2*0.257732</f>
        <v>0.51546400000000003</v>
      </c>
      <c r="P2" s="210"/>
      <c r="Q2" s="211"/>
      <c r="R2" s="211"/>
      <c r="T2">
        <v>1763</v>
      </c>
      <c r="U2">
        <v>46.945150373187658</v>
      </c>
      <c r="V2">
        <v>30.387605336429427</v>
      </c>
      <c r="W2">
        <v>17.905339528478152</v>
      </c>
    </row>
    <row r="3" spans="1:23">
      <c r="A3" s="37">
        <v>1708</v>
      </c>
      <c r="B3" s="38">
        <v>0.45</v>
      </c>
      <c r="C3" s="41"/>
      <c r="D3" s="61"/>
      <c r="E3" s="38">
        <v>0.27</v>
      </c>
      <c r="F3" s="209"/>
      <c r="G3" s="210"/>
      <c r="H3" s="211">
        <v>0.7</v>
      </c>
      <c r="I3" s="211"/>
      <c r="J3" s="211"/>
      <c r="K3" s="209"/>
      <c r="L3" s="210"/>
      <c r="M3" s="211"/>
      <c r="N3" s="211">
        <v>2</v>
      </c>
      <c r="O3" s="212">
        <f>N3*0.257732</f>
        <v>0.51546400000000003</v>
      </c>
      <c r="P3" s="210"/>
      <c r="Q3" s="211"/>
      <c r="R3" s="211"/>
      <c r="T3">
        <v>1764</v>
      </c>
      <c r="U3">
        <v>38.039030802321832</v>
      </c>
      <c r="V3">
        <v>40.127794915366962</v>
      </c>
      <c r="W3">
        <v>17.071269520406425</v>
      </c>
    </row>
    <row r="4" spans="1:23">
      <c r="A4" s="37">
        <v>1718</v>
      </c>
      <c r="B4" s="38">
        <v>1.29</v>
      </c>
      <c r="C4" s="97">
        <v>0.02</v>
      </c>
      <c r="D4" s="61">
        <v>4.6249999999999999E-2</v>
      </c>
      <c r="E4" s="38">
        <v>0.24</v>
      </c>
      <c r="F4" s="213">
        <f>2.110043*B4+12.19512*C4+12.19512*D4+E4*0.42735</f>
        <v>3.6324461700000001</v>
      </c>
      <c r="G4" s="214">
        <f>F4*100/R4</f>
        <v>76.085111296689547</v>
      </c>
      <c r="H4" s="211">
        <v>1.0900000000000001</v>
      </c>
      <c r="I4" s="211">
        <v>0.02</v>
      </c>
      <c r="J4" s="215">
        <f>0.02*1.34/0.03</f>
        <v>0.89333333333333342</v>
      </c>
      <c r="K4" s="213">
        <f>H4*0.15873+I4*7.042254+J4*0.079365</f>
        <v>0.38476018000000006</v>
      </c>
      <c r="L4" s="210"/>
      <c r="M4" s="211"/>
      <c r="N4" s="211">
        <v>2.0550000000000002</v>
      </c>
      <c r="O4" s="212">
        <f>N4*0.257732</f>
        <v>0.52963926000000006</v>
      </c>
      <c r="P4" s="210"/>
      <c r="Q4" s="212">
        <f>(F4+K4+O4)*0.05</f>
        <v>0.22734228050000002</v>
      </c>
      <c r="R4" s="212">
        <f>F4+K4+O4+Q4</f>
        <v>4.7741878905000004</v>
      </c>
      <c r="T4">
        <v>1777</v>
      </c>
      <c r="U4">
        <v>50.59168123981528</v>
      </c>
      <c r="V4">
        <v>39.027733331431627</v>
      </c>
      <c r="W4">
        <v>5.6186806668483369</v>
      </c>
    </row>
    <row r="5" spans="1:23">
      <c r="A5" s="37">
        <v>1725</v>
      </c>
      <c r="B5" s="38">
        <f>((0.03+0.04)/2)*8</f>
        <v>0.28000000000000003</v>
      </c>
      <c r="C5" s="41"/>
      <c r="D5" s="61">
        <v>6.875E-3</v>
      </c>
      <c r="E5" s="38">
        <v>0.24</v>
      </c>
      <c r="F5" s="209"/>
      <c r="G5" s="210"/>
      <c r="H5" s="211"/>
      <c r="I5" s="211">
        <v>0.02</v>
      </c>
      <c r="J5" s="211"/>
      <c r="K5" s="209"/>
      <c r="L5" s="210"/>
      <c r="M5" s="211"/>
      <c r="N5" s="211"/>
      <c r="O5" s="211"/>
      <c r="P5" s="210"/>
      <c r="Q5" s="211"/>
      <c r="R5" s="211"/>
      <c r="S5">
        <v>2.0932697403285636</v>
      </c>
      <c r="T5">
        <v>1786</v>
      </c>
      <c r="U5">
        <v>56.343409652852522</v>
      </c>
      <c r="V5">
        <v>26.21032530829163</v>
      </c>
      <c r="W5">
        <v>12.684360276951098</v>
      </c>
    </row>
    <row r="6" spans="1:23">
      <c r="A6" s="37">
        <v>1726</v>
      </c>
      <c r="B6" s="38">
        <v>0.3</v>
      </c>
      <c r="C6" s="41"/>
      <c r="D6" s="61"/>
      <c r="E6" s="38">
        <v>0.24</v>
      </c>
      <c r="F6" s="209"/>
      <c r="G6" s="210"/>
      <c r="H6" s="211"/>
      <c r="I6" s="211">
        <v>0.02</v>
      </c>
      <c r="J6" s="211"/>
      <c r="K6" s="209"/>
      <c r="L6" s="210"/>
      <c r="M6" s="211"/>
      <c r="N6" s="211"/>
      <c r="O6" s="211"/>
      <c r="P6" s="210"/>
      <c r="Q6" s="211"/>
      <c r="R6" s="211"/>
      <c r="S6">
        <v>12.195121951219512</v>
      </c>
      <c r="T6">
        <v>1793</v>
      </c>
      <c r="U6">
        <v>63.879540352942655</v>
      </c>
      <c r="V6">
        <v>25.359165169535743</v>
      </c>
      <c r="W6">
        <v>5.999389715616843</v>
      </c>
    </row>
    <row r="7" spans="1:23">
      <c r="A7" s="37">
        <v>1727</v>
      </c>
      <c r="B7" s="38"/>
      <c r="C7" s="41"/>
      <c r="D7" s="61"/>
      <c r="E7" s="38"/>
      <c r="F7" s="209"/>
      <c r="G7" s="210"/>
      <c r="H7" s="211"/>
      <c r="I7" s="211"/>
      <c r="J7" s="211"/>
      <c r="K7" s="209"/>
      <c r="L7" s="210"/>
      <c r="M7" s="211"/>
      <c r="N7" s="211"/>
      <c r="O7" s="211"/>
      <c r="P7" s="210"/>
      <c r="Q7" s="211"/>
      <c r="R7" s="211"/>
      <c r="S7">
        <v>12.195121951219512</v>
      </c>
      <c r="T7">
        <v>1794</v>
      </c>
      <c r="U7">
        <v>65.40276212225443</v>
      </c>
      <c r="V7">
        <v>22.189732600476692</v>
      </c>
      <c r="W7">
        <v>7.6456005153641007</v>
      </c>
    </row>
    <row r="8" spans="1:23">
      <c r="A8" s="37">
        <v>1728</v>
      </c>
      <c r="B8" s="38">
        <v>0.81499999999999995</v>
      </c>
      <c r="C8" s="41">
        <v>0.02</v>
      </c>
      <c r="D8" s="61">
        <v>0.04</v>
      </c>
      <c r="E8" s="38">
        <v>0.24</v>
      </c>
      <c r="F8" s="213">
        <f>2.110043*B8+12.19512*C8+12.19512*D8+E8*0.42735</f>
        <v>2.5539562450000002</v>
      </c>
      <c r="G8" s="214">
        <f>F8*100/R8</f>
        <v>61.9743757421382</v>
      </c>
      <c r="H8" s="211">
        <v>1.1724999999999999</v>
      </c>
      <c r="I8" s="211">
        <v>0.02</v>
      </c>
      <c r="J8" s="215">
        <f>0.02*(1.34/0.03)</f>
        <v>0.89333333333333342</v>
      </c>
      <c r="K8" s="213">
        <f>H8*0.15873+I8*7.042254+J8*0.079365</f>
        <v>0.397855405</v>
      </c>
      <c r="L8" s="210"/>
      <c r="M8" s="211"/>
      <c r="N8" s="215">
        <f>(N10+N11)/2</f>
        <v>3.7749999999999999</v>
      </c>
      <c r="O8" s="212">
        <f>N8*0.257732</f>
        <v>0.97293830000000003</v>
      </c>
      <c r="P8" s="210"/>
      <c r="Q8" s="212">
        <f>(F8+K8+O8)*0.05</f>
        <v>0.19623749750000002</v>
      </c>
      <c r="R8" s="212">
        <f>F8+K8+O8+Q8</f>
        <v>4.1209874475000001</v>
      </c>
      <c r="S8">
        <v>0.42735042735042739</v>
      </c>
      <c r="T8">
        <v>1795</v>
      </c>
      <c r="U8">
        <v>65.511565302048538</v>
      </c>
      <c r="V8">
        <v>22.776011311121895</v>
      </c>
      <c r="W8">
        <v>6.9505186249248085</v>
      </c>
    </row>
    <row r="9" spans="1:23">
      <c r="A9" s="37">
        <v>1729</v>
      </c>
      <c r="B9" s="38">
        <v>0.76666666666666661</v>
      </c>
      <c r="C9" s="41"/>
      <c r="D9" s="61">
        <v>3.2500000000000001E-2</v>
      </c>
      <c r="E9" s="38">
        <v>0.24</v>
      </c>
      <c r="F9" s="209"/>
      <c r="G9" s="210"/>
      <c r="H9" s="211">
        <v>1.2</v>
      </c>
      <c r="I9" s="211">
        <v>0.01</v>
      </c>
      <c r="J9" s="211"/>
      <c r="K9" s="209"/>
      <c r="L9" s="210"/>
      <c r="M9" s="211"/>
      <c r="N9" s="211"/>
      <c r="O9" s="211"/>
      <c r="P9" s="210"/>
      <c r="Q9" s="211"/>
      <c r="R9" s="211"/>
      <c r="S9">
        <v>7.9365079365079375E-2</v>
      </c>
      <c r="T9">
        <v>1796</v>
      </c>
      <c r="U9">
        <v>63.308304788246701</v>
      </c>
      <c r="V9">
        <v>26.753660994597464</v>
      </c>
      <c r="W9">
        <v>5.1761294552510932</v>
      </c>
    </row>
    <row r="10" spans="1:23">
      <c r="A10" s="37">
        <v>1730</v>
      </c>
      <c r="B10" s="38">
        <v>0.57999999999999996</v>
      </c>
      <c r="C10" s="41"/>
      <c r="D10" s="61"/>
      <c r="E10" s="38"/>
      <c r="F10" s="209"/>
      <c r="G10" s="210"/>
      <c r="H10" s="211">
        <v>0.9</v>
      </c>
      <c r="I10" s="211"/>
      <c r="J10" s="211"/>
      <c r="K10" s="209"/>
      <c r="L10" s="210"/>
      <c r="M10" s="211"/>
      <c r="N10" s="211">
        <v>3.33</v>
      </c>
      <c r="O10" s="212">
        <f>N10*0.257732</f>
        <v>0.85824756000000002</v>
      </c>
      <c r="P10" s="210"/>
      <c r="Q10" s="211"/>
      <c r="R10" s="211"/>
      <c r="S10">
        <v>7.9365079365079375E-2</v>
      </c>
      <c r="T10">
        <v>1797</v>
      </c>
      <c r="U10">
        <v>53.434434093357638</v>
      </c>
      <c r="V10">
        <v>36.276982658705883</v>
      </c>
      <c r="W10">
        <v>5.5266784860317051</v>
      </c>
    </row>
    <row r="11" spans="1:23">
      <c r="A11" s="37">
        <v>1731</v>
      </c>
      <c r="B11" s="38">
        <v>0.62883148360760299</v>
      </c>
      <c r="C11" s="41"/>
      <c r="D11" s="61"/>
      <c r="E11" s="38"/>
      <c r="F11" s="209"/>
      <c r="G11" s="210"/>
      <c r="H11" s="211">
        <v>1.35</v>
      </c>
      <c r="I11" s="211">
        <v>0.03</v>
      </c>
      <c r="J11" s="211"/>
      <c r="K11" s="209"/>
      <c r="L11" s="210"/>
      <c r="M11" s="211"/>
      <c r="N11" s="211">
        <v>4.22</v>
      </c>
      <c r="O11" s="212">
        <f>N11*0.257732</f>
        <v>1.0876290399999999</v>
      </c>
      <c r="P11" s="210"/>
      <c r="Q11" s="211"/>
      <c r="R11" s="211"/>
      <c r="T11">
        <v>1798</v>
      </c>
      <c r="U11">
        <v>55.842197730160905</v>
      </c>
      <c r="V11">
        <v>32.904164093693176</v>
      </c>
      <c r="W11">
        <v>6.4917334142411489</v>
      </c>
    </row>
    <row r="12" spans="1:23">
      <c r="A12" s="37">
        <v>1732</v>
      </c>
      <c r="B12" s="38"/>
      <c r="C12" s="41"/>
      <c r="D12" s="61">
        <v>0.04</v>
      </c>
      <c r="E12" s="38">
        <v>0.27</v>
      </c>
      <c r="F12" s="209"/>
      <c r="G12" s="210"/>
      <c r="H12" s="211">
        <v>0.82676190476190459</v>
      </c>
      <c r="I12" s="211">
        <v>0.03</v>
      </c>
      <c r="J12" s="211"/>
      <c r="K12" s="209"/>
      <c r="L12" s="210"/>
      <c r="M12" s="211"/>
      <c r="N12" s="211">
        <v>2</v>
      </c>
      <c r="O12" s="212">
        <f>N12*0.257732</f>
        <v>0.51546400000000003</v>
      </c>
      <c r="P12" s="210"/>
      <c r="Q12" s="211"/>
      <c r="R12" s="211"/>
      <c r="T12">
        <v>1799</v>
      </c>
      <c r="U12">
        <v>54.468145593830968</v>
      </c>
      <c r="V12">
        <v>34.809528247686089</v>
      </c>
      <c r="W12">
        <v>5.9604213965781758</v>
      </c>
    </row>
    <row r="13" spans="1:23">
      <c r="A13" s="37">
        <v>1733</v>
      </c>
      <c r="B13" s="38"/>
      <c r="C13" s="41"/>
      <c r="D13" s="61"/>
      <c r="E13" s="38"/>
      <c r="F13" s="209"/>
      <c r="G13" s="210"/>
      <c r="H13" s="211"/>
      <c r="I13" s="211"/>
      <c r="J13" s="211"/>
      <c r="K13" s="209"/>
      <c r="L13" s="210"/>
      <c r="M13" s="211"/>
      <c r="N13" s="211"/>
      <c r="O13" s="211"/>
      <c r="P13" s="210"/>
      <c r="Q13" s="211"/>
      <c r="R13" s="211"/>
      <c r="T13">
        <v>1800</v>
      </c>
      <c r="U13">
        <v>55.089386383442154</v>
      </c>
      <c r="V13">
        <v>31.664852474979259</v>
      </c>
      <c r="W13">
        <v>8.4838563796738349</v>
      </c>
    </row>
    <row r="14" spans="1:23">
      <c r="A14" s="37">
        <v>1734</v>
      </c>
      <c r="B14" s="38"/>
      <c r="C14" s="41"/>
      <c r="D14" s="61"/>
      <c r="E14" s="38">
        <v>0.25</v>
      </c>
      <c r="F14" s="209"/>
      <c r="G14" s="210"/>
      <c r="H14" s="211"/>
      <c r="I14" s="211">
        <v>0.01</v>
      </c>
      <c r="J14" s="211"/>
      <c r="K14" s="209"/>
      <c r="L14" s="210"/>
      <c r="M14" s="211"/>
      <c r="N14" s="211"/>
      <c r="O14" s="211"/>
      <c r="P14" s="210"/>
      <c r="Q14" s="211"/>
      <c r="R14" s="211"/>
      <c r="T14">
        <v>1802</v>
      </c>
      <c r="U14">
        <v>52.227002203056067</v>
      </c>
      <c r="V14">
        <v>35.726007758770905</v>
      </c>
      <c r="W14">
        <v>7.285085276268279</v>
      </c>
    </row>
    <row r="15" spans="1:23">
      <c r="A15" s="42">
        <v>1735</v>
      </c>
      <c r="B15" s="43"/>
      <c r="C15" s="46"/>
      <c r="D15" s="62"/>
      <c r="E15" s="43">
        <v>0.24</v>
      </c>
      <c r="F15" s="213"/>
      <c r="G15" s="214"/>
      <c r="H15" s="212">
        <v>1.2</v>
      </c>
      <c r="I15" s="212">
        <v>0.02</v>
      </c>
      <c r="J15" s="212"/>
      <c r="K15" s="213"/>
      <c r="L15" s="214"/>
      <c r="M15" s="212"/>
      <c r="N15" s="212"/>
      <c r="O15" s="212"/>
      <c r="P15" s="214"/>
      <c r="Q15" s="212"/>
      <c r="R15" s="212"/>
      <c r="T15">
        <v>1805</v>
      </c>
      <c r="U15">
        <v>47.632512684529793</v>
      </c>
      <c r="V15">
        <v>41.264797655192588</v>
      </c>
      <c r="W15">
        <v>6.340784898372851</v>
      </c>
    </row>
    <row r="16" spans="1:23">
      <c r="A16" s="42">
        <v>1736</v>
      </c>
      <c r="B16" s="43"/>
      <c r="C16" s="46"/>
      <c r="D16" s="62">
        <v>9.5833333333333326E-2</v>
      </c>
      <c r="E16" s="43">
        <v>0.25</v>
      </c>
      <c r="F16" s="213"/>
      <c r="G16" s="214"/>
      <c r="H16" s="212">
        <v>1.2</v>
      </c>
      <c r="I16" s="212">
        <v>0.01</v>
      </c>
      <c r="J16" s="212"/>
      <c r="K16" s="213"/>
      <c r="L16" s="214"/>
      <c r="M16" s="212"/>
      <c r="N16" s="212"/>
      <c r="O16" s="212"/>
      <c r="P16" s="214"/>
      <c r="Q16" s="212"/>
      <c r="R16" s="212"/>
    </row>
    <row r="17" spans="1:22">
      <c r="A17" s="42">
        <v>1737</v>
      </c>
      <c r="B17" s="43">
        <v>0.8</v>
      </c>
      <c r="C17" s="46"/>
      <c r="D17" s="62"/>
      <c r="E17" s="43"/>
      <c r="F17" s="213"/>
      <c r="G17" s="214"/>
      <c r="H17" s="212"/>
      <c r="I17" s="212"/>
      <c r="J17" s="212"/>
      <c r="K17" s="213"/>
      <c r="L17" s="214"/>
      <c r="M17" s="212"/>
      <c r="N17" s="212"/>
      <c r="O17" s="212"/>
      <c r="P17" s="214"/>
      <c r="Q17" s="212"/>
      <c r="R17" s="212"/>
    </row>
    <row r="18" spans="1:22">
      <c r="A18" s="42">
        <v>1738</v>
      </c>
      <c r="B18" s="65">
        <v>0.8</v>
      </c>
      <c r="C18" s="46">
        <v>1.325E-2</v>
      </c>
      <c r="D18" s="62">
        <v>3.6666666666666667E-2</v>
      </c>
      <c r="E18" s="43">
        <v>0.24</v>
      </c>
      <c r="F18" s="213">
        <f>2.110043*B18+12.19512*C18+12.19512*D18+E18*0.42735</f>
        <v>2.3993381400000002</v>
      </c>
      <c r="G18" s="214">
        <f>F18*100/R18</f>
        <v>59.880923436761563</v>
      </c>
      <c r="H18" s="212">
        <v>1.29</v>
      </c>
      <c r="I18" s="212">
        <v>0.03</v>
      </c>
      <c r="J18" s="212">
        <v>1.34</v>
      </c>
      <c r="K18" s="213">
        <f>H18*0.15873+I18*7.042254+J18*0.079365</f>
        <v>0.52237842000000001</v>
      </c>
      <c r="L18" s="214"/>
      <c r="M18" s="212">
        <f>F18+K18</f>
        <v>2.9217165600000001</v>
      </c>
      <c r="N18" s="212">
        <v>3.47</v>
      </c>
      <c r="O18" s="212">
        <f>N18*0.257732</f>
        <v>0.89433004000000016</v>
      </c>
      <c r="P18" s="214"/>
      <c r="Q18" s="212">
        <f>(F18+K18+O18)*0.05</f>
        <v>0.19080233000000002</v>
      </c>
      <c r="R18" s="212">
        <f>F18+K18+O18+Q18</f>
        <v>4.0068489300000003</v>
      </c>
    </row>
    <row r="19" spans="1:22">
      <c r="A19" s="42">
        <v>1741</v>
      </c>
      <c r="B19" s="43"/>
      <c r="C19" s="46"/>
      <c r="D19" s="62"/>
      <c r="E19" s="43">
        <v>0.24</v>
      </c>
      <c r="F19" s="213"/>
      <c r="G19" s="214"/>
      <c r="H19" s="212">
        <v>1.7</v>
      </c>
      <c r="I19" s="212">
        <v>0.03</v>
      </c>
      <c r="J19" s="212">
        <v>1.2</v>
      </c>
      <c r="K19" s="213"/>
      <c r="L19" s="214"/>
      <c r="M19" s="212"/>
      <c r="N19" s="212"/>
      <c r="O19" s="212"/>
      <c r="P19" s="214"/>
      <c r="Q19" s="212"/>
      <c r="R19" s="212"/>
    </row>
    <row r="20" spans="1:22">
      <c r="A20" s="42">
        <v>1744</v>
      </c>
      <c r="B20" s="43">
        <v>1.3</v>
      </c>
      <c r="C20" s="46"/>
      <c r="D20" s="62"/>
      <c r="E20" s="43"/>
      <c r="F20" s="213"/>
      <c r="G20" s="214"/>
      <c r="H20" s="212"/>
      <c r="I20" s="212"/>
      <c r="J20" s="212"/>
      <c r="K20" s="213"/>
      <c r="L20" s="214"/>
      <c r="M20" s="212"/>
      <c r="N20" s="212"/>
      <c r="O20" s="212"/>
      <c r="P20" s="214"/>
      <c r="Q20" s="212"/>
      <c r="R20" s="212"/>
    </row>
    <row r="21" spans="1:22">
      <c r="A21" s="42">
        <v>1745</v>
      </c>
      <c r="B21" s="43">
        <v>1</v>
      </c>
      <c r="C21" s="46"/>
      <c r="D21" s="62"/>
      <c r="E21" s="43"/>
      <c r="F21" s="213"/>
      <c r="G21" s="214"/>
      <c r="H21" s="212"/>
      <c r="I21" s="212"/>
      <c r="J21" s="212"/>
      <c r="K21" s="213"/>
      <c r="L21" s="214"/>
      <c r="M21" s="212"/>
      <c r="N21" s="212"/>
      <c r="O21" s="212"/>
      <c r="P21" s="214"/>
      <c r="Q21" s="212"/>
      <c r="R21" s="212"/>
    </row>
    <row r="22" spans="1:22">
      <c r="A22" s="42">
        <v>1746</v>
      </c>
      <c r="B22" s="43">
        <v>0.9</v>
      </c>
      <c r="C22" s="46"/>
      <c r="D22" s="62"/>
      <c r="E22" s="43"/>
      <c r="F22" s="213"/>
      <c r="G22" s="214"/>
      <c r="H22" s="212"/>
      <c r="I22" s="212">
        <v>0.04</v>
      </c>
      <c r="J22" s="212"/>
      <c r="K22" s="213"/>
      <c r="L22" s="214"/>
      <c r="M22" s="212"/>
      <c r="N22" s="212"/>
      <c r="O22" s="212"/>
      <c r="P22" s="214"/>
      <c r="Q22" s="212"/>
      <c r="R22" s="212"/>
    </row>
    <row r="23" spans="1:22">
      <c r="A23" s="42">
        <v>1747</v>
      </c>
      <c r="B23" s="43">
        <v>0.9</v>
      </c>
      <c r="C23" s="46"/>
      <c r="D23" s="62"/>
      <c r="E23" s="43"/>
      <c r="F23" s="213"/>
      <c r="G23" s="214"/>
      <c r="H23" s="212"/>
      <c r="I23" s="212"/>
      <c r="J23" s="212"/>
      <c r="K23" s="213"/>
      <c r="L23" s="214"/>
      <c r="M23" s="212"/>
      <c r="N23" s="212"/>
      <c r="O23" s="212"/>
      <c r="P23" s="214"/>
      <c r="Q23" s="212"/>
      <c r="R23" s="212"/>
      <c r="S23">
        <f>3.14/167</f>
        <v>1.8802395209580838E-2</v>
      </c>
      <c r="T23">
        <f>S23+S23/3</f>
        <v>2.5069860279441119E-2</v>
      </c>
      <c r="V23" t="s">
        <v>294</v>
      </c>
    </row>
    <row r="24" spans="1:22">
      <c r="A24" s="42">
        <v>1748</v>
      </c>
      <c r="B24" s="43">
        <v>1</v>
      </c>
      <c r="C24" s="46"/>
      <c r="D24" s="62"/>
      <c r="E24" s="43"/>
      <c r="F24" s="213"/>
      <c r="G24" s="214"/>
      <c r="H24" s="212"/>
      <c r="I24" s="212"/>
      <c r="J24" s="212"/>
      <c r="K24" s="213"/>
      <c r="L24" s="214"/>
      <c r="M24" s="212"/>
      <c r="N24" s="212"/>
      <c r="O24" s="212"/>
      <c r="P24" s="214"/>
      <c r="Q24" s="212"/>
      <c r="R24" s="212"/>
      <c r="S24">
        <f>3.08/167</f>
        <v>1.844311377245509E-2</v>
      </c>
      <c r="T24">
        <f>S24+S24/3</f>
        <v>2.4590818363273453E-2</v>
      </c>
      <c r="V24" s="49" t="s">
        <v>293</v>
      </c>
    </row>
    <row r="25" spans="1:22">
      <c r="A25" s="42">
        <v>1749</v>
      </c>
      <c r="B25" s="43">
        <v>1.7</v>
      </c>
      <c r="C25" s="46"/>
      <c r="D25" s="62"/>
      <c r="E25" s="43"/>
      <c r="F25" s="213"/>
      <c r="G25" s="214"/>
      <c r="H25" s="212"/>
      <c r="I25" s="212"/>
      <c r="J25" s="212"/>
      <c r="K25" s="213"/>
      <c r="L25" s="214"/>
      <c r="M25" s="212"/>
      <c r="N25" s="212"/>
      <c r="O25" s="212"/>
      <c r="P25" s="214"/>
      <c r="Q25" s="212"/>
      <c r="R25" s="212"/>
    </row>
    <row r="26" spans="1:22">
      <c r="A26" s="42">
        <v>1750</v>
      </c>
      <c r="B26" s="43">
        <v>1.2</v>
      </c>
      <c r="C26" s="46"/>
      <c r="D26" s="62"/>
      <c r="E26" s="43"/>
      <c r="F26" s="213"/>
      <c r="G26" s="214"/>
      <c r="H26" s="212"/>
      <c r="I26" s="212"/>
      <c r="J26" s="212"/>
      <c r="K26" s="213"/>
      <c r="L26" s="214"/>
      <c r="M26" s="212"/>
      <c r="N26" s="212"/>
      <c r="O26" s="212"/>
      <c r="P26" s="214"/>
      <c r="Q26" s="212"/>
      <c r="R26" s="212"/>
    </row>
    <row r="27" spans="1:22">
      <c r="A27" s="42">
        <v>1751</v>
      </c>
      <c r="B27" s="43">
        <v>1.1499999999999999</v>
      </c>
      <c r="C27" s="46"/>
      <c r="D27" s="62"/>
      <c r="E27" s="43"/>
      <c r="F27" s="213"/>
      <c r="G27" s="214"/>
      <c r="H27" s="212"/>
      <c r="I27" s="212"/>
      <c r="J27" s="212"/>
      <c r="K27" s="213"/>
      <c r="L27" s="214"/>
      <c r="M27" s="212"/>
      <c r="N27" s="212"/>
      <c r="O27" s="212"/>
      <c r="P27" s="214"/>
      <c r="Q27" s="212"/>
      <c r="R27" s="212"/>
    </row>
    <row r="28" spans="1:22">
      <c r="A28" s="42">
        <v>1752</v>
      </c>
      <c r="B28" s="43">
        <v>1.1000000000000001</v>
      </c>
      <c r="C28" s="46"/>
      <c r="D28" s="62"/>
      <c r="E28" s="43"/>
      <c r="F28" s="213"/>
      <c r="G28" s="214"/>
      <c r="H28" s="212"/>
      <c r="I28" s="212"/>
      <c r="J28" s="212"/>
      <c r="K28" s="213"/>
      <c r="L28" s="214"/>
      <c r="M28" s="212"/>
      <c r="N28" s="212"/>
      <c r="O28" s="212"/>
      <c r="P28" s="214"/>
      <c r="Q28" s="212"/>
      <c r="R28" s="212"/>
    </row>
    <row r="29" spans="1:22">
      <c r="A29" s="42">
        <v>1753</v>
      </c>
      <c r="B29" s="43">
        <v>0.9</v>
      </c>
      <c r="C29" s="46"/>
      <c r="D29" s="62"/>
      <c r="E29" s="43"/>
      <c r="F29" s="213"/>
      <c r="G29" s="214"/>
      <c r="H29" s="212"/>
      <c r="I29" s="212"/>
      <c r="J29" s="212"/>
      <c r="K29" s="213"/>
      <c r="L29" s="214"/>
      <c r="M29" s="212"/>
      <c r="N29" s="212"/>
      <c r="O29" s="212"/>
      <c r="P29" s="214"/>
      <c r="Q29" s="212"/>
      <c r="R29" s="212"/>
    </row>
    <row r="30" spans="1:22">
      <c r="A30" s="42">
        <v>1757</v>
      </c>
      <c r="B30" s="43">
        <v>0.75</v>
      </c>
      <c r="C30" s="46"/>
      <c r="D30" s="62"/>
      <c r="E30" s="43"/>
      <c r="F30" s="213"/>
      <c r="G30" s="214"/>
      <c r="H30" s="212"/>
      <c r="I30" s="212">
        <v>0.04</v>
      </c>
      <c r="J30" s="212">
        <v>1.8</v>
      </c>
      <c r="K30" s="213"/>
      <c r="L30" s="214"/>
      <c r="M30" s="212"/>
      <c r="N30" s="212">
        <v>4.03</v>
      </c>
      <c r="O30" s="212"/>
      <c r="P30" s="214"/>
      <c r="Q30" s="212"/>
      <c r="R30" s="212"/>
    </row>
    <row r="31" spans="1:22">
      <c r="A31" s="42">
        <v>1758</v>
      </c>
      <c r="B31" s="43">
        <v>0.9</v>
      </c>
      <c r="C31" s="46"/>
      <c r="D31" s="62"/>
      <c r="E31" s="43"/>
      <c r="F31" s="213"/>
      <c r="G31" s="214"/>
      <c r="H31" s="212"/>
      <c r="I31" s="212"/>
      <c r="J31" s="212"/>
      <c r="K31" s="213"/>
      <c r="L31" s="214"/>
      <c r="M31" s="212"/>
      <c r="N31" s="212"/>
      <c r="O31" s="212"/>
      <c r="P31" s="214"/>
      <c r="Q31" s="212"/>
      <c r="R31" s="212"/>
    </row>
    <row r="32" spans="1:22">
      <c r="A32" s="42">
        <v>1759</v>
      </c>
      <c r="B32" s="43">
        <v>0.85</v>
      </c>
      <c r="C32" s="46"/>
      <c r="D32" s="62"/>
      <c r="E32" s="43"/>
      <c r="F32" s="213"/>
      <c r="G32" s="214"/>
      <c r="H32" s="212"/>
      <c r="I32" s="212"/>
      <c r="J32" s="212"/>
      <c r="K32" s="213"/>
      <c r="L32" s="214"/>
      <c r="M32" s="212"/>
      <c r="N32" s="212"/>
      <c r="O32" s="212"/>
      <c r="P32" s="214"/>
      <c r="Q32" s="212"/>
      <c r="R32" s="212"/>
    </row>
    <row r="33" spans="1:20">
      <c r="A33" s="42">
        <v>1760</v>
      </c>
      <c r="B33" s="43">
        <v>0.75666666666666671</v>
      </c>
      <c r="C33" s="46"/>
      <c r="D33" s="62"/>
      <c r="E33" s="43"/>
      <c r="F33" s="213"/>
      <c r="G33" s="214"/>
      <c r="H33" s="212"/>
      <c r="I33" s="212"/>
      <c r="J33" s="212"/>
      <c r="K33" s="213"/>
      <c r="L33" s="214"/>
      <c r="M33" s="212"/>
      <c r="N33" s="212"/>
      <c r="O33" s="212"/>
      <c r="P33" s="214"/>
      <c r="Q33" s="212"/>
      <c r="R33" s="212"/>
    </row>
    <row r="34" spans="1:20">
      <c r="A34" s="42">
        <v>1761</v>
      </c>
      <c r="B34" s="43">
        <v>0.74333333333333329</v>
      </c>
      <c r="C34" s="46"/>
      <c r="D34" s="62"/>
      <c r="E34" s="43"/>
      <c r="F34" s="213"/>
      <c r="G34" s="214"/>
      <c r="H34" s="212">
        <v>1.6</v>
      </c>
      <c r="I34" s="212"/>
      <c r="J34" s="212"/>
      <c r="K34" s="213"/>
      <c r="L34" s="214"/>
      <c r="M34" s="212"/>
      <c r="N34" s="212"/>
      <c r="O34" s="212"/>
      <c r="P34" s="214"/>
      <c r="Q34" s="212"/>
      <c r="R34" s="212"/>
    </row>
    <row r="35" spans="1:20">
      <c r="A35" s="42">
        <v>1762</v>
      </c>
      <c r="B35" s="43">
        <v>1.0266666666666666</v>
      </c>
      <c r="C35" s="46">
        <v>0.01</v>
      </c>
      <c r="D35" s="62">
        <v>0.05</v>
      </c>
      <c r="E35" s="43">
        <v>0.4</v>
      </c>
      <c r="F35" s="213">
        <f>2.110043*B35+12.19512*C35+12.19512*D35+E35*0.42735</f>
        <v>3.068958013333333</v>
      </c>
      <c r="G35" s="214">
        <f>F35*100/R35</f>
        <v>73.043964451868277</v>
      </c>
      <c r="H35" s="216">
        <f>(H34+H36)/2</f>
        <v>1.82</v>
      </c>
      <c r="I35" s="212">
        <v>0.03</v>
      </c>
      <c r="J35" s="212">
        <v>2.2000000000000002</v>
      </c>
      <c r="K35" s="213">
        <f>H35*0.15873+I35*7.042254+J35*0.079365</f>
        <v>0.6747592200000001</v>
      </c>
      <c r="L35" s="214"/>
      <c r="M35" s="212">
        <f>F35+K35</f>
        <v>3.7437172333333333</v>
      </c>
      <c r="N35" s="212">
        <v>1</v>
      </c>
      <c r="O35" s="212">
        <f>N35*0.257732</f>
        <v>0.25773200000000002</v>
      </c>
      <c r="P35" s="214"/>
      <c r="Q35" s="212">
        <f>(F35+K35+O35)*0.05</f>
        <v>0.20007246166666667</v>
      </c>
      <c r="R35" s="212">
        <f>F35+K35+O35+Q35</f>
        <v>4.2015216949999994</v>
      </c>
    </row>
    <row r="36" spans="1:20">
      <c r="A36" s="42">
        <v>1763</v>
      </c>
      <c r="B36" s="43">
        <v>1.0449999999999999</v>
      </c>
      <c r="C36" s="46">
        <v>1.2500000000000001E-2</v>
      </c>
      <c r="D36" s="62">
        <v>5.1250000000000004E-2</v>
      </c>
      <c r="E36" s="43">
        <v>0.4</v>
      </c>
      <c r="F36" s="213">
        <f>2.110043*B36+12.19512*C36+12.19512*D36+E36*0.42735</f>
        <v>3.1533738349999996</v>
      </c>
      <c r="G36" s="214">
        <f>F36*100/R36</f>
        <v>72.91828980702229</v>
      </c>
      <c r="H36" s="212">
        <v>2.04</v>
      </c>
      <c r="I36" s="212">
        <v>0.02</v>
      </c>
      <c r="J36" s="212">
        <v>2.8000000000000003</v>
      </c>
      <c r="K36" s="213">
        <f>H36*0.15873+I36*7.042254+J36*0.079365</f>
        <v>0.68687628000000012</v>
      </c>
      <c r="L36" s="214">
        <f>K36*100/R36</f>
        <v>15.883255924399274</v>
      </c>
      <c r="M36" s="212">
        <f>F36+K36</f>
        <v>3.8402501149999999</v>
      </c>
      <c r="N36" s="212">
        <v>1.08</v>
      </c>
      <c r="O36" s="212">
        <f>N36*0.257732</f>
        <v>0.27835056000000002</v>
      </c>
      <c r="P36" s="214">
        <f>O36*100/R36</f>
        <v>6.4365495066736829</v>
      </c>
      <c r="Q36" s="212">
        <f>(F36+K36+O36)*0.05</f>
        <v>0.20593003374999999</v>
      </c>
      <c r="R36" s="212">
        <f>F36+K36+O36+Q36</f>
        <v>4.3245307087499993</v>
      </c>
    </row>
    <row r="37" spans="1:20">
      <c r="A37" s="42">
        <v>1764</v>
      </c>
      <c r="B37" s="43">
        <v>1.0266666666666666</v>
      </c>
      <c r="C37" s="46">
        <v>1.2500000000000001E-2</v>
      </c>
      <c r="D37" s="62">
        <v>0.05</v>
      </c>
      <c r="E37" s="43">
        <v>0.4</v>
      </c>
      <c r="F37" s="213">
        <f>2.110043*B37+12.19512*C37+12.19512*D37+E37*0.42735</f>
        <v>3.0994458133333334</v>
      </c>
      <c r="G37" s="214">
        <f>F37*100/R37</f>
        <v>72.936635824482153</v>
      </c>
      <c r="H37" s="212">
        <f>(1.76+1.6)/2</f>
        <v>1.6800000000000002</v>
      </c>
      <c r="I37" s="212">
        <v>0.03</v>
      </c>
      <c r="J37" s="212">
        <v>1.6</v>
      </c>
      <c r="K37" s="213">
        <f>H37*0.15873+I37*7.042254+J37*0.079365</f>
        <v>0.60491802000000006</v>
      </c>
      <c r="L37" s="214">
        <f>K37*100/R37</f>
        <v>14.235023931893403</v>
      </c>
      <c r="M37" s="212">
        <f>F37+K37</f>
        <v>3.7043638333333333</v>
      </c>
      <c r="N37" s="212">
        <v>1.33</v>
      </c>
      <c r="O37" s="212">
        <f>N37*0.257732</f>
        <v>0.34278356000000004</v>
      </c>
      <c r="P37" s="214">
        <f>O37*100/R37</f>
        <v>8.0664354817196848</v>
      </c>
      <c r="Q37" s="212">
        <f>(F37+K37+O37)*0.05</f>
        <v>0.2023573696666667</v>
      </c>
      <c r="R37" s="212">
        <f>F37+K37+O37+Q37</f>
        <v>4.249504763</v>
      </c>
      <c r="S37">
        <f>F37/167</f>
        <v>1.8559555768463073E-2</v>
      </c>
      <c r="T37">
        <f>S37+S37/3</f>
        <v>2.4746074357950763E-2</v>
      </c>
    </row>
    <row r="38" spans="1:20">
      <c r="A38" s="42">
        <v>1765</v>
      </c>
      <c r="B38" s="43">
        <v>1.2233333333333334</v>
      </c>
      <c r="C38" s="46"/>
      <c r="D38" s="62"/>
      <c r="E38" s="43"/>
      <c r="F38" s="213"/>
      <c r="G38" s="214"/>
      <c r="H38" s="212"/>
      <c r="I38" s="212">
        <v>4.4999999999999998E-2</v>
      </c>
      <c r="J38" s="212">
        <v>1.6</v>
      </c>
      <c r="K38" s="213">
        <f>H38*0.15873+I38*7.042254+J38*0.079365</f>
        <v>0.44388543000000003</v>
      </c>
      <c r="L38" s="214"/>
      <c r="M38" s="212"/>
      <c r="N38" s="212"/>
      <c r="O38" s="212"/>
      <c r="P38" s="214"/>
      <c r="Q38" s="212"/>
      <c r="R38" s="212"/>
    </row>
    <row r="39" spans="1:20">
      <c r="A39" s="42">
        <v>1766</v>
      </c>
      <c r="B39" s="43">
        <v>2.2799999999999998</v>
      </c>
      <c r="C39" s="46"/>
      <c r="D39" s="62"/>
      <c r="E39" s="43"/>
      <c r="F39" s="213"/>
      <c r="G39" s="214"/>
      <c r="H39" s="212"/>
      <c r="I39" s="212">
        <v>0.03</v>
      </c>
      <c r="J39" s="212"/>
      <c r="K39" s="213"/>
      <c r="L39" s="214"/>
      <c r="M39" s="212"/>
      <c r="N39" s="212"/>
      <c r="O39" s="212"/>
      <c r="P39" s="214"/>
      <c r="Q39" s="212"/>
      <c r="R39" s="212"/>
    </row>
    <row r="40" spans="1:20">
      <c r="A40" s="42">
        <v>1767</v>
      </c>
      <c r="B40" s="43">
        <v>2.5939999999999999</v>
      </c>
      <c r="C40" s="46">
        <v>0.01</v>
      </c>
      <c r="D40" s="62">
        <v>0.06</v>
      </c>
      <c r="E40" s="43">
        <v>0.5</v>
      </c>
      <c r="F40" s="213">
        <f>2.110043*B40+12.19512*C40+12.19512*D40+E40*0.42735</f>
        <v>6.5407849420000002</v>
      </c>
      <c r="G40" s="214">
        <f>F40*100/R40</f>
        <v>79.972630178767602</v>
      </c>
      <c r="H40" s="212">
        <v>1.6</v>
      </c>
      <c r="I40" s="212">
        <v>0.05</v>
      </c>
      <c r="J40" s="212">
        <v>1.6</v>
      </c>
      <c r="K40" s="213">
        <f>H40*0.15873+I40*7.042254+J40*0.079365</f>
        <v>0.73306470000000001</v>
      </c>
      <c r="L40" s="214">
        <f>K40*100/R40</f>
        <v>8.9630086709873087</v>
      </c>
      <c r="M40" s="212">
        <f>F40+K40</f>
        <v>7.2738496420000001</v>
      </c>
      <c r="N40" s="212">
        <v>2</v>
      </c>
      <c r="O40" s="212">
        <f>N40*0.257732</f>
        <v>0.51546400000000003</v>
      </c>
      <c r="P40" s="214">
        <f>O40*100/R40</f>
        <v>6.3024563883403495</v>
      </c>
      <c r="Q40" s="212">
        <f>(F40+K40+O40)*0.05</f>
        <v>0.38946568209999999</v>
      </c>
      <c r="R40" s="212">
        <f>F40+K40+O40+Q40</f>
        <v>8.1787793240999989</v>
      </c>
    </row>
    <row r="41" spans="1:20">
      <c r="A41" s="42">
        <v>1768</v>
      </c>
      <c r="B41" s="43">
        <v>2.2950000000000004</v>
      </c>
      <c r="C41" s="46"/>
      <c r="D41" s="62"/>
      <c r="E41" s="43"/>
      <c r="F41" s="213"/>
      <c r="G41" s="214"/>
      <c r="H41" s="212"/>
      <c r="I41" s="212">
        <v>0.05</v>
      </c>
      <c r="J41" s="212"/>
      <c r="K41" s="213"/>
      <c r="L41" s="214"/>
      <c r="M41" s="212"/>
      <c r="N41" s="212"/>
      <c r="O41" s="212"/>
      <c r="P41" s="214"/>
      <c r="Q41" s="212"/>
      <c r="R41" s="212"/>
    </row>
    <row r="42" spans="1:20">
      <c r="A42" s="42">
        <v>1769</v>
      </c>
      <c r="B42" s="43">
        <v>2.1</v>
      </c>
      <c r="C42" s="46"/>
      <c r="D42" s="62">
        <v>0.05</v>
      </c>
      <c r="E42" s="43">
        <v>0.39990234375</v>
      </c>
      <c r="F42" s="213"/>
      <c r="G42" s="214"/>
      <c r="H42" s="212">
        <v>2.65</v>
      </c>
      <c r="I42" s="212">
        <v>6.3333333333333339E-2</v>
      </c>
      <c r="J42" s="212"/>
      <c r="K42" s="213"/>
      <c r="L42" s="214"/>
      <c r="M42" s="212"/>
      <c r="N42" s="212">
        <v>1.05</v>
      </c>
      <c r="O42" s="212"/>
      <c r="P42" s="214"/>
      <c r="Q42" s="212"/>
      <c r="R42" s="212"/>
    </row>
    <row r="43" spans="1:20">
      <c r="A43" s="42">
        <v>1770</v>
      </c>
      <c r="B43" s="43">
        <v>1.54</v>
      </c>
      <c r="C43" s="46"/>
      <c r="D43" s="62">
        <v>0.05</v>
      </c>
      <c r="E43" s="43">
        <v>0.39990234375</v>
      </c>
      <c r="F43" s="213"/>
      <c r="G43" s="214"/>
      <c r="H43" s="212">
        <v>2.4666666666666668</v>
      </c>
      <c r="I43" s="212"/>
      <c r="J43" s="212"/>
      <c r="K43" s="213"/>
      <c r="L43" s="214"/>
      <c r="M43" s="212"/>
      <c r="N43" s="212">
        <v>1.17</v>
      </c>
      <c r="O43" s="212"/>
      <c r="P43" s="214"/>
      <c r="Q43" s="212"/>
      <c r="R43" s="212"/>
    </row>
    <row r="44" spans="1:20">
      <c r="A44" s="42">
        <v>1771</v>
      </c>
      <c r="B44" s="43">
        <v>1.3433333333333335</v>
      </c>
      <c r="C44" s="46"/>
      <c r="D44" s="62"/>
      <c r="E44" s="43"/>
      <c r="F44" s="213"/>
      <c r="G44" s="214"/>
      <c r="H44" s="212"/>
      <c r="I44" s="212"/>
      <c r="J44" s="212"/>
      <c r="K44" s="213"/>
      <c r="L44" s="214"/>
      <c r="M44" s="212"/>
      <c r="N44" s="212"/>
      <c r="O44" s="212"/>
      <c r="P44" s="214"/>
      <c r="Q44" s="212"/>
      <c r="R44" s="212"/>
    </row>
    <row r="45" spans="1:20">
      <c r="A45" s="42">
        <v>1772</v>
      </c>
      <c r="B45" s="43">
        <v>1.7342857142857142</v>
      </c>
      <c r="C45" s="46"/>
      <c r="D45" s="62">
        <v>2.9000000000000001E-2</v>
      </c>
      <c r="E45" s="43">
        <v>0.39990234375</v>
      </c>
      <c r="F45" s="213"/>
      <c r="G45" s="214"/>
      <c r="H45" s="212">
        <v>2.27</v>
      </c>
      <c r="I45" s="212"/>
      <c r="J45" s="212"/>
      <c r="K45" s="213"/>
      <c r="L45" s="214"/>
      <c r="M45" s="212"/>
      <c r="N45" s="212">
        <v>3.35</v>
      </c>
      <c r="O45" s="212">
        <f>N45*0.257732</f>
        <v>0.86340220000000012</v>
      </c>
      <c r="P45" s="214"/>
      <c r="Q45" s="212"/>
      <c r="R45" s="212"/>
      <c r="S45">
        <f>F45/167</f>
        <v>0</v>
      </c>
      <c r="T45">
        <f>S45+S45/3</f>
        <v>0</v>
      </c>
    </row>
    <row r="46" spans="1:20">
      <c r="A46" s="42">
        <v>1773</v>
      </c>
      <c r="B46" s="43">
        <v>1.7914285714285714</v>
      </c>
      <c r="C46" s="46"/>
      <c r="D46" s="62"/>
      <c r="E46" s="43"/>
      <c r="F46" s="213"/>
      <c r="G46" s="214"/>
      <c r="H46" s="212"/>
      <c r="I46" s="212"/>
      <c r="J46" s="212"/>
      <c r="K46" s="213"/>
      <c r="L46" s="214"/>
      <c r="M46" s="212"/>
      <c r="N46" s="212"/>
      <c r="O46" s="212"/>
      <c r="P46" s="214"/>
      <c r="Q46" s="212"/>
      <c r="R46" s="212"/>
    </row>
    <row r="47" spans="1:20">
      <c r="A47" s="42">
        <v>1774</v>
      </c>
      <c r="B47" s="43">
        <v>2.0300000000000002</v>
      </c>
      <c r="C47" s="46"/>
      <c r="D47" s="62"/>
      <c r="E47" s="43"/>
      <c r="F47" s="213"/>
      <c r="G47" s="214"/>
      <c r="H47" s="212"/>
      <c r="I47" s="212"/>
      <c r="J47" s="212"/>
      <c r="K47" s="213"/>
      <c r="L47" s="214"/>
      <c r="M47" s="212"/>
      <c r="N47" s="212"/>
      <c r="O47" s="212"/>
      <c r="P47" s="214"/>
      <c r="Q47" s="212"/>
      <c r="R47" s="212"/>
    </row>
    <row r="48" spans="1:20">
      <c r="A48" s="42">
        <v>1775</v>
      </c>
      <c r="B48" s="43">
        <v>2.6475</v>
      </c>
      <c r="C48" s="46"/>
      <c r="D48" s="62">
        <v>5.5000000000000007E-2</v>
      </c>
      <c r="E48" s="43">
        <v>0.39990234375</v>
      </c>
      <c r="F48" s="213"/>
      <c r="G48" s="214"/>
      <c r="H48" s="212">
        <v>2.5</v>
      </c>
      <c r="I48" s="212">
        <v>0.09</v>
      </c>
      <c r="J48" s="212"/>
      <c r="K48" s="213"/>
      <c r="L48" s="214"/>
      <c r="M48" s="212"/>
      <c r="N48" s="212">
        <v>2.4</v>
      </c>
      <c r="O48" s="212"/>
      <c r="P48" s="214"/>
      <c r="Q48" s="212"/>
      <c r="R48" s="212"/>
    </row>
    <row r="49" spans="1:22">
      <c r="A49" s="42">
        <v>1776</v>
      </c>
      <c r="B49" s="43">
        <v>2.1825000000000001</v>
      </c>
      <c r="C49" s="46"/>
      <c r="D49" s="62"/>
      <c r="E49" s="43"/>
      <c r="F49" s="213"/>
      <c r="G49" s="214"/>
      <c r="H49" s="212">
        <v>2</v>
      </c>
      <c r="I49" s="212"/>
      <c r="J49" s="212"/>
      <c r="K49" s="213"/>
      <c r="L49" s="214"/>
      <c r="M49" s="212"/>
      <c r="N49" s="212">
        <v>4.32</v>
      </c>
      <c r="O49" s="212"/>
      <c r="P49" s="214"/>
      <c r="Q49" s="212"/>
      <c r="R49" s="212"/>
      <c r="V49" t="s">
        <v>292</v>
      </c>
    </row>
    <row r="50" spans="1:22">
      <c r="A50" s="42">
        <v>1777</v>
      </c>
      <c r="B50" s="43">
        <v>1.66</v>
      </c>
      <c r="C50" s="46">
        <v>2.5000000000000001E-2</v>
      </c>
      <c r="D50" s="62">
        <v>0.06</v>
      </c>
      <c r="E50" s="43">
        <v>0.4</v>
      </c>
      <c r="F50" s="213">
        <f>2.110043*B50+12.19512*C50+12.19512*D50+E50*0.42735</f>
        <v>4.7101965799999999</v>
      </c>
      <c r="G50" s="214">
        <f>F50*100/R50</f>
        <v>76.992759107307691</v>
      </c>
      <c r="H50" s="212">
        <v>2</v>
      </c>
      <c r="I50" s="212">
        <v>4.4999999999999998E-2</v>
      </c>
      <c r="J50" s="212">
        <v>1.2</v>
      </c>
      <c r="K50" s="213">
        <f>H50*0.15873+I50*7.042254+J50*0.079365</f>
        <v>0.72959943000000005</v>
      </c>
      <c r="L50" s="214">
        <f>K50*100/R50</f>
        <v>11.926014595089152</v>
      </c>
      <c r="M50" s="212">
        <f>F50+K50</f>
        <v>5.4397960100000002</v>
      </c>
      <c r="N50" s="212">
        <v>1.5</v>
      </c>
      <c r="O50" s="212">
        <f>N50*0.257732</f>
        <v>0.386598</v>
      </c>
      <c r="P50" s="214">
        <f>O50*100/R50</f>
        <v>6.3193215356983963</v>
      </c>
      <c r="Q50" s="212">
        <f>(F50+K50+O50)*0.05</f>
        <v>0.29131970050000006</v>
      </c>
      <c r="R50" s="212">
        <f>F50+K50+O50+Q50</f>
        <v>6.1177137105000003</v>
      </c>
      <c r="S50">
        <f>F50/167</f>
        <v>2.8204769940119761E-2</v>
      </c>
      <c r="T50">
        <f>S50+S50/3</f>
        <v>3.7606359920159683E-2</v>
      </c>
    </row>
    <row r="51" spans="1:22">
      <c r="A51" s="42">
        <v>1778</v>
      </c>
      <c r="B51" s="43">
        <v>1.4249999999999998</v>
      </c>
      <c r="C51" s="46"/>
      <c r="D51" s="62">
        <v>0.02</v>
      </c>
      <c r="E51" s="43">
        <v>0.39990234375</v>
      </c>
      <c r="F51" s="213"/>
      <c r="G51" s="214"/>
      <c r="H51" s="212"/>
      <c r="I51" s="212"/>
      <c r="J51" s="212">
        <v>4</v>
      </c>
      <c r="K51" s="213"/>
      <c r="L51" s="214"/>
      <c r="M51" s="212"/>
      <c r="N51" s="212">
        <v>1.65</v>
      </c>
      <c r="O51" s="212"/>
      <c r="P51" s="214"/>
      <c r="Q51" s="212"/>
      <c r="R51" s="212"/>
    </row>
    <row r="52" spans="1:22">
      <c r="A52" s="42">
        <v>1779</v>
      </c>
      <c r="B52" s="43">
        <v>1.855</v>
      </c>
      <c r="C52" s="46"/>
      <c r="D52" s="62"/>
      <c r="E52" s="43"/>
      <c r="F52" s="213"/>
      <c r="G52" s="214"/>
      <c r="H52" s="212"/>
      <c r="I52" s="212">
        <v>0.06</v>
      </c>
      <c r="J52" s="212"/>
      <c r="K52" s="213"/>
      <c r="L52" s="214"/>
      <c r="M52" s="212"/>
      <c r="N52" s="212"/>
      <c r="O52" s="212"/>
      <c r="P52" s="214"/>
      <c r="Q52" s="212"/>
      <c r="R52" s="212"/>
      <c r="S52">
        <f>F52/167</f>
        <v>0</v>
      </c>
      <c r="T52">
        <f>S52+S52/3</f>
        <v>0</v>
      </c>
    </row>
    <row r="53" spans="1:22">
      <c r="A53" s="42">
        <v>1780</v>
      </c>
      <c r="B53" s="43">
        <v>1.98</v>
      </c>
      <c r="C53" s="46">
        <v>4.4999999999999998E-2</v>
      </c>
      <c r="D53" s="62"/>
      <c r="E53" s="43"/>
      <c r="F53" s="213"/>
      <c r="G53" s="214"/>
      <c r="H53" s="212">
        <v>2.8</v>
      </c>
      <c r="I53" s="212">
        <v>0.05</v>
      </c>
      <c r="J53" s="212"/>
      <c r="K53" s="213"/>
      <c r="L53" s="214"/>
      <c r="M53" s="212"/>
      <c r="N53" s="212">
        <v>1.98</v>
      </c>
      <c r="O53" s="212"/>
      <c r="P53" s="214"/>
      <c r="Q53" s="212"/>
      <c r="R53" s="212"/>
      <c r="S53">
        <f t="shared" ref="S53:S59" si="0">F53/167</f>
        <v>0</v>
      </c>
      <c r="T53">
        <f t="shared" ref="T53:T59" si="1">S53+S53/3</f>
        <v>0</v>
      </c>
    </row>
    <row r="54" spans="1:22">
      <c r="A54" s="42">
        <v>1781</v>
      </c>
      <c r="B54" s="60">
        <v>1.5175000000000001</v>
      </c>
      <c r="C54" s="46"/>
      <c r="D54" s="62"/>
      <c r="E54" s="43"/>
      <c r="F54" s="213"/>
      <c r="G54" s="214"/>
      <c r="H54" s="212"/>
      <c r="I54" s="212">
        <v>4.2499999999999996E-2</v>
      </c>
      <c r="J54" s="212"/>
      <c r="K54" s="213"/>
      <c r="L54" s="214"/>
      <c r="M54" s="212"/>
      <c r="N54" s="212"/>
      <c r="O54" s="212"/>
      <c r="P54" s="214"/>
      <c r="Q54" s="212"/>
      <c r="R54" s="212"/>
      <c r="S54">
        <f t="shared" si="0"/>
        <v>0</v>
      </c>
      <c r="T54">
        <f t="shared" si="1"/>
        <v>0</v>
      </c>
    </row>
    <row r="55" spans="1:22">
      <c r="A55" s="42">
        <v>1782</v>
      </c>
      <c r="B55" s="43">
        <v>3.125</v>
      </c>
      <c r="C55" s="46">
        <v>5.8125000000000003E-2</v>
      </c>
      <c r="D55" s="62">
        <v>0.11899999999999999</v>
      </c>
      <c r="E55" s="43"/>
      <c r="F55" s="213"/>
      <c r="G55" s="214"/>
      <c r="H55" s="212"/>
      <c r="I55" s="212"/>
      <c r="J55" s="212"/>
      <c r="K55" s="213"/>
      <c r="L55" s="214"/>
      <c r="M55" s="212"/>
      <c r="N55" s="212">
        <v>1.5</v>
      </c>
      <c r="O55" s="212"/>
      <c r="P55" s="214"/>
      <c r="Q55" s="212"/>
      <c r="R55" s="212"/>
      <c r="S55">
        <f t="shared" si="0"/>
        <v>0</v>
      </c>
      <c r="T55">
        <f t="shared" si="1"/>
        <v>0</v>
      </c>
    </row>
    <row r="56" spans="1:22">
      <c r="A56" s="42">
        <v>1783</v>
      </c>
      <c r="B56" s="43">
        <v>3.125</v>
      </c>
      <c r="C56" s="46">
        <v>1.7500000000000002E-2</v>
      </c>
      <c r="D56" s="62">
        <v>0.11899999999999999</v>
      </c>
      <c r="E56" s="43"/>
      <c r="F56" s="213"/>
      <c r="G56" s="214"/>
      <c r="H56" s="212"/>
      <c r="I56" s="212"/>
      <c r="J56" s="212"/>
      <c r="K56" s="213"/>
      <c r="L56" s="214"/>
      <c r="M56" s="212"/>
      <c r="N56" s="212"/>
      <c r="O56" s="212"/>
      <c r="P56" s="214"/>
      <c r="Q56" s="212"/>
      <c r="R56" s="212"/>
      <c r="S56">
        <f t="shared" si="0"/>
        <v>0</v>
      </c>
      <c r="T56">
        <f t="shared" si="1"/>
        <v>0</v>
      </c>
    </row>
    <row r="57" spans="1:22">
      <c r="A57" s="42">
        <v>1784</v>
      </c>
      <c r="B57" s="43">
        <v>3.125</v>
      </c>
      <c r="C57" s="46">
        <v>1.7500000000000002E-2</v>
      </c>
      <c r="D57" s="62">
        <v>0.11899999999999999</v>
      </c>
      <c r="E57" s="43"/>
      <c r="F57" s="213"/>
      <c r="G57" s="214"/>
      <c r="H57" s="212"/>
      <c r="I57" s="212"/>
      <c r="J57" s="212"/>
      <c r="K57" s="213"/>
      <c r="L57" s="214"/>
      <c r="M57" s="212"/>
      <c r="N57" s="212"/>
      <c r="O57" s="212"/>
      <c r="P57" s="214"/>
      <c r="Q57" s="212"/>
      <c r="R57" s="212"/>
      <c r="S57">
        <f t="shared" si="0"/>
        <v>0</v>
      </c>
      <c r="T57">
        <f t="shared" si="1"/>
        <v>0</v>
      </c>
    </row>
    <row r="58" spans="1:22">
      <c r="A58" s="42">
        <v>1785</v>
      </c>
      <c r="B58" s="43">
        <v>2.84</v>
      </c>
      <c r="C58" s="46">
        <v>3.9821428571428563E-2</v>
      </c>
      <c r="D58" s="62">
        <v>0.11899999999999999</v>
      </c>
      <c r="E58" s="43"/>
      <c r="F58" s="213"/>
      <c r="G58" s="214"/>
      <c r="H58" s="212"/>
      <c r="I58" s="212"/>
      <c r="J58" s="212"/>
      <c r="K58" s="213"/>
      <c r="L58" s="214"/>
      <c r="M58" s="212"/>
      <c r="N58" s="212"/>
      <c r="O58" s="212"/>
      <c r="P58" s="214"/>
      <c r="Q58" s="212"/>
      <c r="R58" s="212"/>
      <c r="S58">
        <f t="shared" si="0"/>
        <v>0</v>
      </c>
      <c r="T58">
        <f t="shared" si="1"/>
        <v>0</v>
      </c>
    </row>
    <row r="59" spans="1:22">
      <c r="A59" s="42">
        <v>1786</v>
      </c>
      <c r="B59" s="43">
        <v>3.105</v>
      </c>
      <c r="C59" s="46">
        <v>1.5663003663003664E-2</v>
      </c>
      <c r="D59" s="62">
        <v>7.2000000000000008E-2</v>
      </c>
      <c r="E59" s="43">
        <v>0.4</v>
      </c>
      <c r="F59" s="213">
        <f t="shared" ref="F59:F76" si="2">2.110043*B59+12.19512*C59+12.19512*D59+E59*0.42735</f>
        <v>7.79168436423077</v>
      </c>
      <c r="G59" s="214">
        <f>F59*100/R59</f>
        <v>73.494198984510334</v>
      </c>
      <c r="H59" s="212">
        <v>3.6850000000000001</v>
      </c>
      <c r="I59" s="212">
        <v>4.2599999999999999E-2</v>
      </c>
      <c r="J59" s="212">
        <v>1.6</v>
      </c>
      <c r="K59" s="213">
        <f>H59*0.15873+I59*7.042254+J59*0.079365</f>
        <v>1.0119040704</v>
      </c>
      <c r="L59" s="214">
        <f>K59*100/R59</f>
        <v>9.5446729650162876</v>
      </c>
      <c r="M59" s="212">
        <f>F59+K59</f>
        <v>8.80358843463077</v>
      </c>
      <c r="N59" s="212">
        <v>1.2933333333333332</v>
      </c>
      <c r="O59" s="212">
        <f t="shared" ref="O59:O72" si="3">N59*0.257732</f>
        <v>0.33333338666666668</v>
      </c>
      <c r="P59" s="214">
        <f>N59*100/R59</f>
        <v>12.199223288568623</v>
      </c>
      <c r="Q59" s="212">
        <f>(F59+K59+N59)*0.05</f>
        <v>0.50484608839820522</v>
      </c>
      <c r="R59" s="212">
        <f>F59+K59+N59+Q59</f>
        <v>10.601767856362308</v>
      </c>
      <c r="S59">
        <f t="shared" si="0"/>
        <v>4.6656792600184252E-2</v>
      </c>
      <c r="T59">
        <f t="shared" si="1"/>
        <v>6.2209056800245667E-2</v>
      </c>
    </row>
    <row r="60" spans="1:22">
      <c r="A60" s="42">
        <v>1787</v>
      </c>
      <c r="B60" s="43">
        <v>5.1639999999999997</v>
      </c>
      <c r="C60" s="46">
        <v>1.41875E-2</v>
      </c>
      <c r="D60" s="62">
        <v>8.666666666666667E-2</v>
      </c>
      <c r="E60" s="43">
        <v>0.39990234375</v>
      </c>
      <c r="F60" s="213">
        <f t="shared" si="2"/>
        <v>12.297088983601562</v>
      </c>
      <c r="G60" s="214">
        <f>F60*100/R60</f>
        <v>67.284693985542432</v>
      </c>
      <c r="H60" s="212">
        <v>4</v>
      </c>
      <c r="I60" s="217">
        <f>(I59+I61)/2</f>
        <v>3.3799999999999997E-2</v>
      </c>
      <c r="J60" s="217">
        <f>J59</f>
        <v>1.6</v>
      </c>
      <c r="K60" s="213">
        <f>H60*0.15873+I60*7.042254+J60*0.079365</f>
        <v>0.99993218520000005</v>
      </c>
      <c r="L60" s="214"/>
      <c r="M60" s="212"/>
      <c r="N60" s="212">
        <v>4.108888888888889</v>
      </c>
      <c r="O60" s="212">
        <f t="shared" si="3"/>
        <v>1.0589921511111111</v>
      </c>
      <c r="P60" s="214"/>
      <c r="Q60" s="212">
        <f>(F60+K60+N60)*0.05</f>
        <v>0.87029550288452262</v>
      </c>
      <c r="R60" s="212">
        <f>F60+K60+N60+Q60</f>
        <v>18.276205560574976</v>
      </c>
    </row>
    <row r="61" spans="1:22">
      <c r="A61" s="42">
        <v>1788</v>
      </c>
      <c r="B61" s="43">
        <v>3.5</v>
      </c>
      <c r="C61" s="46">
        <v>2.375E-2</v>
      </c>
      <c r="D61" s="62">
        <v>8.4499999999999992E-2</v>
      </c>
      <c r="E61" s="43">
        <v>0.39990234375</v>
      </c>
      <c r="F61" s="213">
        <f t="shared" si="2"/>
        <v>8.8761705066015626</v>
      </c>
      <c r="G61" s="214">
        <f>F61*100/R61</f>
        <v>70.600798154910549</v>
      </c>
      <c r="H61" s="217">
        <f>(H60+H62)/2</f>
        <v>4.375</v>
      </c>
      <c r="I61" s="212">
        <v>2.5000000000000001E-2</v>
      </c>
      <c r="J61" s="217">
        <f>J60</f>
        <v>1.6</v>
      </c>
      <c r="K61" s="213">
        <f>H61*0.15873+I61*7.042254+J61*0.079365</f>
        <v>0.99748409999999998</v>
      </c>
      <c r="L61" s="214"/>
      <c r="M61" s="212"/>
      <c r="N61" s="212">
        <v>2.1</v>
      </c>
      <c r="O61" s="212">
        <f t="shared" si="3"/>
        <v>0.54123720000000008</v>
      </c>
      <c r="P61" s="214"/>
      <c r="Q61" s="212">
        <f>(F61+K61+N61)*0.05</f>
        <v>0.59868273033007813</v>
      </c>
      <c r="R61" s="212">
        <f>F61+K61+N61+Q61</f>
        <v>12.572337336931639</v>
      </c>
    </row>
    <row r="62" spans="1:22">
      <c r="A62" s="42">
        <v>1789</v>
      </c>
      <c r="B62" s="43">
        <v>3.5</v>
      </c>
      <c r="C62" s="46">
        <v>2.6249999999999999E-2</v>
      </c>
      <c r="D62" s="62">
        <v>8.7499999999999994E-2</v>
      </c>
      <c r="E62" s="43">
        <v>0.39990234375</v>
      </c>
      <c r="F62" s="213">
        <f t="shared" si="2"/>
        <v>8.943243666601564</v>
      </c>
      <c r="G62" s="214">
        <f>F62*100/R62</f>
        <v>81.299215579915526</v>
      </c>
      <c r="H62" s="212">
        <v>4.75</v>
      </c>
      <c r="I62" s="212">
        <v>0.08</v>
      </c>
      <c r="J62" s="217">
        <f>J61</f>
        <v>1.6</v>
      </c>
      <c r="K62" s="213"/>
      <c r="L62" s="214"/>
      <c r="M62" s="212"/>
      <c r="N62" s="212">
        <v>1.5333333333333332</v>
      </c>
      <c r="O62" s="212">
        <f t="shared" si="3"/>
        <v>0.39518906666666664</v>
      </c>
      <c r="P62" s="214"/>
      <c r="Q62" s="212">
        <f>(F62+K62+N62)*0.05</f>
        <v>0.52382884999674484</v>
      </c>
      <c r="R62" s="212">
        <f>F62+K62+N62+Q62</f>
        <v>11.000405849931642</v>
      </c>
    </row>
    <row r="63" spans="1:22">
      <c r="A63" s="42">
        <v>1790</v>
      </c>
      <c r="B63" s="43">
        <v>3.25</v>
      </c>
      <c r="C63" s="46">
        <v>4.8125000000000001E-2</v>
      </c>
      <c r="D63" s="62">
        <v>0.10793749999999999</v>
      </c>
      <c r="E63" s="43">
        <v>0.39990234375</v>
      </c>
      <c r="F63" s="213">
        <f t="shared" si="2"/>
        <v>8.9317389316015632</v>
      </c>
      <c r="G63" s="214"/>
      <c r="H63" s="212">
        <v>4.7</v>
      </c>
      <c r="I63" s="212"/>
      <c r="J63" s="212"/>
      <c r="K63" s="213"/>
      <c r="L63" s="214"/>
      <c r="M63" s="212"/>
      <c r="N63" s="212">
        <v>1</v>
      </c>
      <c r="O63" s="212">
        <f t="shared" si="3"/>
        <v>0.25773200000000002</v>
      </c>
      <c r="P63" s="214"/>
      <c r="Q63" s="212"/>
      <c r="R63" s="212"/>
    </row>
    <row r="64" spans="1:22">
      <c r="A64" s="42">
        <v>1791</v>
      </c>
      <c r="B64" s="43">
        <v>2.6599999999999997</v>
      </c>
      <c r="C64" s="46">
        <v>4.8125000000000001E-2</v>
      </c>
      <c r="D64" s="62">
        <v>0.11437499999999999</v>
      </c>
      <c r="E64" s="43">
        <v>0.39990234375</v>
      </c>
      <c r="F64" s="213">
        <f t="shared" si="2"/>
        <v>7.7653196466015624</v>
      </c>
      <c r="G64" s="214"/>
      <c r="H64" s="212">
        <v>4.8499999999999996</v>
      </c>
      <c r="I64" s="212"/>
      <c r="J64" s="212"/>
      <c r="K64" s="213"/>
      <c r="L64" s="214"/>
      <c r="M64" s="212"/>
      <c r="N64" s="212">
        <v>1.1000000000000001</v>
      </c>
      <c r="O64" s="212">
        <f t="shared" si="3"/>
        <v>0.28350520000000007</v>
      </c>
      <c r="P64" s="214"/>
      <c r="Q64" s="212"/>
      <c r="R64" s="212"/>
    </row>
    <row r="65" spans="1:18">
      <c r="A65" s="42">
        <v>1792</v>
      </c>
      <c r="B65" s="43">
        <v>3.3</v>
      </c>
      <c r="C65" s="46">
        <v>4.8125000000000001E-2</v>
      </c>
      <c r="D65" s="62">
        <v>0.11750000000000001</v>
      </c>
      <c r="E65" s="43">
        <v>0.39990234375</v>
      </c>
      <c r="F65" s="213">
        <f t="shared" si="2"/>
        <v>9.1538569166015638</v>
      </c>
      <c r="G65" s="214">
        <f>F65*100/R65</f>
        <v>92.630044144978854</v>
      </c>
      <c r="H65" s="212">
        <v>5.3</v>
      </c>
      <c r="I65" s="212">
        <v>0.06</v>
      </c>
      <c r="J65" s="217">
        <v>3.64</v>
      </c>
      <c r="K65" s="213"/>
      <c r="L65" s="214"/>
      <c r="M65" s="212"/>
      <c r="N65" s="212">
        <v>1</v>
      </c>
      <c r="O65" s="212">
        <f t="shared" si="3"/>
        <v>0.25773200000000002</v>
      </c>
      <c r="P65" s="214"/>
      <c r="Q65" s="212">
        <f t="shared" ref="Q65:Q74" si="4">(F65+K65+O65)*0.05</f>
        <v>0.47057944583007827</v>
      </c>
      <c r="R65" s="212">
        <f t="shared" ref="R65:R74" si="5">F65+K65+O65+Q65</f>
        <v>9.8821683624316421</v>
      </c>
    </row>
    <row r="66" spans="1:18">
      <c r="A66" s="42">
        <v>1793</v>
      </c>
      <c r="B66" s="60">
        <v>4.2350000000000003</v>
      </c>
      <c r="C66" s="46">
        <v>5.7812500000000003E-2</v>
      </c>
      <c r="D66" s="62">
        <v>0.12962499999999999</v>
      </c>
      <c r="E66" s="43">
        <v>0.4</v>
      </c>
      <c r="F66" s="213">
        <f t="shared" si="2"/>
        <v>11.392794910000001</v>
      </c>
      <c r="G66" s="214">
        <f t="shared" ref="G66:G74" si="6">F66*100/R66</f>
        <v>79.114370440426967</v>
      </c>
      <c r="H66" s="212">
        <v>5.0148148148148142</v>
      </c>
      <c r="I66" s="217">
        <v>0.05</v>
      </c>
      <c r="J66" s="212">
        <v>3.64</v>
      </c>
      <c r="K66" s="213">
        <f t="shared" ref="K66:K75" si="7">H66*0.15873+I66*7.042254+J66*0.079365</f>
        <v>1.4370028555555554</v>
      </c>
      <c r="L66" s="214">
        <f t="shared" ref="L66:L74" si="8">K66*100/R66</f>
        <v>9.9789013263623811</v>
      </c>
      <c r="M66" s="212">
        <f t="shared" ref="M66:M74" si="9">F66+K66</f>
        <v>12.829797765555556</v>
      </c>
      <c r="N66" s="212">
        <v>3.4333333333333336</v>
      </c>
      <c r="O66" s="212">
        <f t="shared" si="3"/>
        <v>0.88487986666666674</v>
      </c>
      <c r="P66" s="214">
        <f t="shared" ref="P66:P74" si="10">O66*100/R66</f>
        <v>6.1448234713058918</v>
      </c>
      <c r="Q66" s="212">
        <f t="shared" si="4"/>
        <v>0.68573388161111115</v>
      </c>
      <c r="R66" s="212">
        <f t="shared" si="5"/>
        <v>14.400411513833333</v>
      </c>
    </row>
    <row r="67" spans="1:18">
      <c r="A67" s="42">
        <v>1794</v>
      </c>
      <c r="B67" s="60">
        <v>4</v>
      </c>
      <c r="C67" s="46">
        <v>4.2163461538461539E-2</v>
      </c>
      <c r="D67" s="62">
        <v>0.14879999999999999</v>
      </c>
      <c r="E67" s="43">
        <v>0.4</v>
      </c>
      <c r="F67" s="213">
        <f t="shared" si="2"/>
        <v>10.939934329076923</v>
      </c>
      <c r="G67" s="214">
        <f t="shared" si="6"/>
        <v>83.157127232017032</v>
      </c>
      <c r="H67" s="212">
        <v>4.46875</v>
      </c>
      <c r="I67" s="212">
        <v>0.04</v>
      </c>
      <c r="J67" s="212">
        <v>3.6419999999999999</v>
      </c>
      <c r="K67" s="213">
        <f t="shared" si="7"/>
        <v>1.2800621775000001</v>
      </c>
      <c r="L67" s="214">
        <f t="shared" si="8"/>
        <v>9.7300669416579471</v>
      </c>
      <c r="M67" s="212">
        <f t="shared" si="9"/>
        <v>12.219996506576923</v>
      </c>
      <c r="N67" s="212">
        <v>1.2</v>
      </c>
      <c r="O67" s="212">
        <f t="shared" si="3"/>
        <v>0.30927840000000001</v>
      </c>
      <c r="P67" s="214">
        <f t="shared" si="10"/>
        <v>2.3509010644202575</v>
      </c>
      <c r="Q67" s="212">
        <f t="shared" si="4"/>
        <v>0.62646374532884619</v>
      </c>
      <c r="R67" s="212">
        <f t="shared" si="5"/>
        <v>13.15573865190577</v>
      </c>
    </row>
    <row r="68" spans="1:18">
      <c r="A68" s="42">
        <v>1795</v>
      </c>
      <c r="B68" s="60">
        <v>4.3600000000000003</v>
      </c>
      <c r="C68" s="46">
        <v>4.2098214285714287E-2</v>
      </c>
      <c r="D68" s="62">
        <v>0.16285714285714287</v>
      </c>
      <c r="E68" s="43">
        <v>0.4</v>
      </c>
      <c r="F68" s="213">
        <f t="shared" si="2"/>
        <v>11.870182655000001</v>
      </c>
      <c r="G68" s="214">
        <f t="shared" si="6"/>
        <v>74.560576189995047</v>
      </c>
      <c r="H68" s="212">
        <v>9.6699999999999982</v>
      </c>
      <c r="I68" s="212">
        <v>0.04</v>
      </c>
      <c r="J68" s="212">
        <v>4.3</v>
      </c>
      <c r="K68" s="213">
        <f t="shared" si="7"/>
        <v>2.15787876</v>
      </c>
      <c r="L68" s="214">
        <f t="shared" si="8"/>
        <v>13.554356185579017</v>
      </c>
      <c r="M68" s="212">
        <f t="shared" si="9"/>
        <v>14.028061415</v>
      </c>
      <c r="N68" s="212">
        <v>4.3999999999999995</v>
      </c>
      <c r="O68" s="212">
        <f t="shared" si="3"/>
        <v>1.1340207999999998</v>
      </c>
      <c r="P68" s="214">
        <f t="shared" si="10"/>
        <v>7.123162862521184</v>
      </c>
      <c r="Q68" s="212">
        <f t="shared" si="4"/>
        <v>0.75810411075000006</v>
      </c>
      <c r="R68" s="212">
        <f t="shared" si="5"/>
        <v>15.92018632575</v>
      </c>
    </row>
    <row r="69" spans="1:18">
      <c r="A69" s="42">
        <v>1796</v>
      </c>
      <c r="B69" s="60">
        <v>5.5228571428571422</v>
      </c>
      <c r="C69" s="46">
        <v>4.4492187499999995E-2</v>
      </c>
      <c r="D69" s="62">
        <v>0.16921875</v>
      </c>
      <c r="E69" s="43">
        <v>0.4</v>
      </c>
      <c r="F69" s="213">
        <f t="shared" si="2"/>
        <v>14.430636582410713</v>
      </c>
      <c r="G69" s="214">
        <f t="shared" si="6"/>
        <v>81.682009645868376</v>
      </c>
      <c r="H69" s="212">
        <v>5.6583333333333341</v>
      </c>
      <c r="I69" s="212">
        <v>7.4999999999999997E-2</v>
      </c>
      <c r="J69" s="212">
        <v>4.84375</v>
      </c>
      <c r="K69" s="213">
        <f t="shared" si="7"/>
        <v>1.8107405187500001</v>
      </c>
      <c r="L69" s="214">
        <f t="shared" si="8"/>
        <v>10.249369365935063</v>
      </c>
      <c r="M69" s="212">
        <f t="shared" si="9"/>
        <v>16.241377101160712</v>
      </c>
      <c r="N69" s="212">
        <v>2.2666666666666666</v>
      </c>
      <c r="O69" s="212">
        <f t="shared" si="3"/>
        <v>0.58419253333333332</v>
      </c>
      <c r="P69" s="214">
        <f t="shared" si="10"/>
        <v>3.3067162262918042</v>
      </c>
      <c r="Q69" s="212">
        <f t="shared" si="4"/>
        <v>0.84127848172470232</v>
      </c>
      <c r="R69" s="212">
        <f t="shared" si="5"/>
        <v>17.666848116218748</v>
      </c>
    </row>
    <row r="70" spans="1:18">
      <c r="A70" s="42">
        <v>1797</v>
      </c>
      <c r="B70" s="60">
        <v>4.71</v>
      </c>
      <c r="C70" s="46">
        <v>4.2291666666666665E-2</v>
      </c>
      <c r="D70" s="62">
        <v>0.13950000000000001</v>
      </c>
      <c r="E70" s="43">
        <v>0.4</v>
      </c>
      <c r="F70" s="213">
        <f t="shared" si="2"/>
        <v>12.32621372</v>
      </c>
      <c r="G70" s="214">
        <f t="shared" si="6"/>
        <v>81.025855934309106</v>
      </c>
      <c r="H70" s="212">
        <v>4.8</v>
      </c>
      <c r="I70" s="212">
        <v>0.1</v>
      </c>
      <c r="J70" s="217">
        <f>(J69+J72)/2</f>
        <v>4.8718749999999993</v>
      </c>
      <c r="K70" s="213">
        <f t="shared" si="7"/>
        <v>1.8527857593750001</v>
      </c>
      <c r="L70" s="214">
        <f t="shared" si="8"/>
        <v>12.179210536701472</v>
      </c>
      <c r="M70" s="212">
        <f t="shared" si="9"/>
        <v>14.178999479375001</v>
      </c>
      <c r="N70" s="212">
        <v>1.2</v>
      </c>
      <c r="O70" s="212">
        <f t="shared" si="3"/>
        <v>0.30927840000000001</v>
      </c>
      <c r="P70" s="214">
        <f t="shared" si="10"/>
        <v>2.0330287670846601</v>
      </c>
      <c r="Q70" s="212">
        <f t="shared" si="4"/>
        <v>0.72441389396875011</v>
      </c>
      <c r="R70" s="212">
        <f t="shared" si="5"/>
        <v>15.212691773343751</v>
      </c>
    </row>
    <row r="71" spans="1:18">
      <c r="A71" s="42">
        <v>1798</v>
      </c>
      <c r="B71" s="60">
        <v>4.0457142857142872</v>
      </c>
      <c r="C71" s="46">
        <v>6.1874999999999999E-2</v>
      </c>
      <c r="D71" s="62">
        <v>0.141875</v>
      </c>
      <c r="E71" s="43">
        <v>0.4</v>
      </c>
      <c r="F71" s="213">
        <f t="shared" si="2"/>
        <v>11.192326808571432</v>
      </c>
      <c r="G71" s="214">
        <f t="shared" si="6"/>
        <v>80.886390738040774</v>
      </c>
      <c r="H71" s="212">
        <v>4.8</v>
      </c>
      <c r="I71" s="212">
        <v>7.4999999999999997E-2</v>
      </c>
      <c r="J71" s="217">
        <v>4.87</v>
      </c>
      <c r="K71" s="213">
        <f t="shared" si="7"/>
        <v>1.6765805999999999</v>
      </c>
      <c r="L71" s="214">
        <f t="shared" si="8"/>
        <v>12.116564842581482</v>
      </c>
      <c r="M71" s="212">
        <f t="shared" si="9"/>
        <v>12.868907408571431</v>
      </c>
      <c r="N71" s="212">
        <v>1.2</v>
      </c>
      <c r="O71" s="212">
        <f t="shared" si="3"/>
        <v>0.30927840000000001</v>
      </c>
      <c r="P71" s="214">
        <f t="shared" si="10"/>
        <v>2.235139657472986</v>
      </c>
      <c r="Q71" s="212">
        <f t="shared" si="4"/>
        <v>0.6589092904285716</v>
      </c>
      <c r="R71" s="212">
        <f t="shared" si="5"/>
        <v>13.837095099000003</v>
      </c>
    </row>
    <row r="72" spans="1:18">
      <c r="A72" s="42">
        <v>1799</v>
      </c>
      <c r="B72" s="60">
        <v>3.99125</v>
      </c>
      <c r="C72" s="46">
        <v>4.9750000000000003E-2</v>
      </c>
      <c r="D72" s="62">
        <v>0.13750000000000001</v>
      </c>
      <c r="E72" s="43">
        <v>0.44</v>
      </c>
      <c r="F72" s="213">
        <f t="shared" si="2"/>
        <v>10.893279343750001</v>
      </c>
      <c r="G72" s="214">
        <f t="shared" si="6"/>
        <v>77.075262395262797</v>
      </c>
      <c r="H72" s="212">
        <v>6</v>
      </c>
      <c r="I72" s="217">
        <f>(0.08+0.09)/2</f>
        <v>8.4999999999999992E-2</v>
      </c>
      <c r="J72" s="212">
        <v>4.8999999999999995</v>
      </c>
      <c r="K72" s="213">
        <f t="shared" si="7"/>
        <v>1.93986009</v>
      </c>
      <c r="L72" s="214">
        <f t="shared" si="8"/>
        <v>13.725455919078417</v>
      </c>
      <c r="M72" s="212">
        <f t="shared" si="9"/>
        <v>12.83313943375</v>
      </c>
      <c r="N72" s="212">
        <v>2.4333333333333336</v>
      </c>
      <c r="O72" s="212">
        <f t="shared" si="3"/>
        <v>0.62714786666666678</v>
      </c>
      <c r="P72" s="214">
        <f t="shared" si="10"/>
        <v>4.4373769237540239</v>
      </c>
      <c r="Q72" s="212">
        <f t="shared" si="4"/>
        <v>0.67301436502083334</v>
      </c>
      <c r="R72" s="212">
        <f t="shared" si="5"/>
        <v>14.1333016654375</v>
      </c>
    </row>
    <row r="73" spans="1:18">
      <c r="A73" s="42">
        <v>1800</v>
      </c>
      <c r="B73" s="60">
        <v>4.5419999999999998</v>
      </c>
      <c r="C73" s="46">
        <v>5.2750000000000005E-2</v>
      </c>
      <c r="D73" s="62">
        <v>0.18833333333333332</v>
      </c>
      <c r="E73" s="43">
        <v>0.4</v>
      </c>
      <c r="F73" s="213">
        <f t="shared" si="2"/>
        <v>12.694795486</v>
      </c>
      <c r="G73" s="214">
        <f t="shared" si="6"/>
        <v>73.127031875824656</v>
      </c>
      <c r="H73" s="212">
        <v>5.74</v>
      </c>
      <c r="I73" s="217">
        <f>(0.08+0.09)/2</f>
        <v>8.4999999999999992E-2</v>
      </c>
      <c r="J73" s="212">
        <v>5.0999999999999996</v>
      </c>
      <c r="K73" s="213">
        <f t="shared" si="7"/>
        <v>1.91446329</v>
      </c>
      <c r="L73" s="214">
        <f t="shared" si="8"/>
        <v>11.028064074550789</v>
      </c>
      <c r="M73" s="212">
        <f t="shared" si="9"/>
        <v>14.609258776000001</v>
      </c>
      <c r="N73" s="212">
        <v>6.086950904392765</v>
      </c>
      <c r="O73" s="212">
        <v>1.9240000000000002</v>
      </c>
      <c r="P73" s="214">
        <f t="shared" si="10"/>
        <v>11.082999287719808</v>
      </c>
      <c r="Q73" s="212">
        <f t="shared" si="4"/>
        <v>0.82666293880000008</v>
      </c>
      <c r="R73" s="212">
        <f t="shared" si="5"/>
        <v>17.359921714799999</v>
      </c>
    </row>
    <row r="74" spans="1:18">
      <c r="A74" s="42">
        <v>1801</v>
      </c>
      <c r="B74" s="60">
        <v>5.1766666666666667</v>
      </c>
      <c r="C74" s="46">
        <v>0.04</v>
      </c>
      <c r="D74" s="62">
        <v>0.16999999999999998</v>
      </c>
      <c r="E74" s="43">
        <v>0.39990234375</v>
      </c>
      <c r="F74" s="213">
        <f t="shared" si="2"/>
        <v>13.654862729934896</v>
      </c>
      <c r="G74" s="214">
        <f t="shared" si="6"/>
        <v>75.415711382951898</v>
      </c>
      <c r="H74" s="212">
        <v>5.4600000000000009</v>
      </c>
      <c r="I74" s="217">
        <f>(0.08+0.09)/2</f>
        <v>8.4999999999999992E-2</v>
      </c>
      <c r="J74" s="212">
        <v>4.9980000000000002</v>
      </c>
      <c r="K74" s="213">
        <f t="shared" si="7"/>
        <v>1.8619236600000002</v>
      </c>
      <c r="L74" s="214">
        <f t="shared" si="8"/>
        <v>10.283391355653633</v>
      </c>
      <c r="M74" s="212">
        <f t="shared" si="9"/>
        <v>15.516786389934897</v>
      </c>
      <c r="N74" s="217">
        <f>(6.09+5.94)/2</f>
        <v>6.0150000000000006</v>
      </c>
      <c r="O74" s="212">
        <f>(O73+O75)/2</f>
        <v>1.727141875</v>
      </c>
      <c r="P74" s="214">
        <f t="shared" si="10"/>
        <v>9.538992499489698</v>
      </c>
      <c r="Q74" s="212">
        <f t="shared" si="4"/>
        <v>0.8621964132467449</v>
      </c>
      <c r="R74" s="212">
        <f t="shared" si="5"/>
        <v>18.106124678181644</v>
      </c>
    </row>
    <row r="75" spans="1:18">
      <c r="A75" s="42">
        <v>1802</v>
      </c>
      <c r="B75" s="60">
        <v>4.2</v>
      </c>
      <c r="C75" s="46">
        <v>3.7499999999999999E-2</v>
      </c>
      <c r="D75" s="62">
        <v>0.13125000000000001</v>
      </c>
      <c r="E75" s="43">
        <v>0.40600000000000003</v>
      </c>
      <c r="F75" s="213">
        <f t="shared" si="2"/>
        <v>11.0936112</v>
      </c>
      <c r="G75" s="214">
        <f>F75*100/R75</f>
        <v>72.442694699152725</v>
      </c>
      <c r="H75" s="212">
        <v>6.0500000000000016</v>
      </c>
      <c r="I75" s="212">
        <v>0.09</v>
      </c>
      <c r="J75" s="212">
        <v>4.6166666666666663</v>
      </c>
      <c r="K75" s="213">
        <f t="shared" si="7"/>
        <v>1.9605211100000002</v>
      </c>
      <c r="L75" s="214">
        <f>K75*100/R75</f>
        <v>12.80245266058847</v>
      </c>
      <c r="M75" s="212">
        <f>F75+K75</f>
        <v>13.05413231</v>
      </c>
      <c r="N75" s="212">
        <v>5.9375</v>
      </c>
      <c r="O75" s="212">
        <f>N75*0.257732</f>
        <v>1.5302837500000002</v>
      </c>
      <c r="P75" s="214">
        <f>O75*100/R75</f>
        <v>9.9929478783540358</v>
      </c>
      <c r="Q75" s="212">
        <f>(F75+K75+O75)*0.05</f>
        <v>0.72922080300000003</v>
      </c>
      <c r="R75" s="212">
        <f>F75+K75+O75+Q75</f>
        <v>15.313636863000001</v>
      </c>
    </row>
    <row r="76" spans="1:18">
      <c r="A76" s="42">
        <v>1803</v>
      </c>
      <c r="B76" s="43">
        <v>5.95</v>
      </c>
      <c r="C76" s="46">
        <v>0.04</v>
      </c>
      <c r="D76" s="62">
        <v>0.16</v>
      </c>
      <c r="E76" s="43">
        <v>0.4</v>
      </c>
      <c r="F76" s="213">
        <f t="shared" si="2"/>
        <v>15.164719850000001</v>
      </c>
      <c r="G76" s="214"/>
      <c r="H76" s="212">
        <v>6.64</v>
      </c>
      <c r="I76" s="212"/>
      <c r="J76" s="212"/>
      <c r="K76" s="213"/>
      <c r="L76" s="214"/>
      <c r="M76" s="212"/>
      <c r="N76" s="212">
        <v>1.2</v>
      </c>
      <c r="O76" s="212">
        <f>N76*0.257732</f>
        <v>0.30927840000000001</v>
      </c>
      <c r="P76" s="214"/>
      <c r="Q76" s="212"/>
      <c r="R76" s="212"/>
    </row>
    <row r="77" spans="1:18">
      <c r="A77" s="42">
        <v>1804</v>
      </c>
      <c r="B77" s="60">
        <v>4</v>
      </c>
      <c r="C77" s="46"/>
      <c r="D77" s="62"/>
      <c r="E77" s="43"/>
      <c r="F77" s="213"/>
      <c r="G77" s="214"/>
      <c r="H77" s="212"/>
      <c r="I77" s="212"/>
      <c r="J77" s="212"/>
      <c r="K77" s="213"/>
      <c r="L77" s="214"/>
      <c r="M77" s="212"/>
      <c r="N77" s="212"/>
      <c r="O77" s="212"/>
      <c r="P77" s="214"/>
      <c r="Q77" s="212"/>
      <c r="R77" s="212"/>
    </row>
    <row r="78" spans="1:18">
      <c r="A78" s="42">
        <v>1805</v>
      </c>
      <c r="B78" s="60">
        <v>3.4949999999999997</v>
      </c>
      <c r="C78" s="46">
        <v>4.2000000000000003E-2</v>
      </c>
      <c r="D78" s="62">
        <v>0.13249999999999998</v>
      </c>
      <c r="E78" s="43">
        <v>0.4</v>
      </c>
      <c r="F78" s="213">
        <f t="shared" ref="F78:F83" si="11">2.110043*B78+12.19512*C78+12.19512*D78+E78*0.42735</f>
        <v>9.6735887249999983</v>
      </c>
      <c r="G78" s="214">
        <f>F78*100/R78</f>
        <v>64.202441364508516</v>
      </c>
      <c r="H78" s="212">
        <v>6.2</v>
      </c>
      <c r="I78" s="212">
        <v>0.1</v>
      </c>
      <c r="J78" s="212">
        <v>6.4</v>
      </c>
      <c r="K78" s="213">
        <f>H78*0.15873+I78*7.042254+J78*0.079365</f>
        <v>2.1962874000000001</v>
      </c>
      <c r="L78" s="214">
        <f>K78*100/R78</f>
        <v>14.576494517871794</v>
      </c>
      <c r="M78" s="212">
        <f>F78+K78</f>
        <v>11.869876124999998</v>
      </c>
      <c r="N78" s="212">
        <v>9.6222222222222236</v>
      </c>
      <c r="O78" s="212">
        <f t="shared" ref="O78:O88" si="12">N78*0.257732</f>
        <v>2.4799545777777783</v>
      </c>
      <c r="P78" s="214">
        <f>O78*100/R78</f>
        <v>16.459159355714938</v>
      </c>
      <c r="Q78" s="212">
        <f>(F78+K78+O78)*0.05</f>
        <v>0.71749153513888886</v>
      </c>
      <c r="R78" s="212">
        <f>F78+K78+O78+Q78</f>
        <v>15.067322237916665</v>
      </c>
    </row>
    <row r="79" spans="1:18">
      <c r="A79" s="2">
        <v>1806</v>
      </c>
      <c r="B79" s="64">
        <f>(B78+B81)/2</f>
        <v>4.7474999999999996</v>
      </c>
      <c r="C79" s="36">
        <v>2.3E-2</v>
      </c>
      <c r="D79" s="62">
        <v>0.22500000000000001</v>
      </c>
      <c r="E79" s="43">
        <v>0.4</v>
      </c>
      <c r="F79" s="213">
        <f t="shared" si="11"/>
        <v>13.212758902499999</v>
      </c>
      <c r="G79" s="214">
        <f>F79*100/R79</f>
        <v>76.19537942925669</v>
      </c>
      <c r="H79" s="217">
        <f>(H78+H80)/2</f>
        <v>6.1</v>
      </c>
      <c r="I79" s="218">
        <v>0.14000000000000001</v>
      </c>
      <c r="J79" s="217">
        <f>(J78+J80)/2</f>
        <v>5.0500000000000007</v>
      </c>
      <c r="K79" s="213">
        <f>H79*0.15873+I79*7.042254+J79*0.079365</f>
        <v>2.3549618100000003</v>
      </c>
      <c r="N79" s="212">
        <v>3.6749999999999998</v>
      </c>
      <c r="O79" s="212">
        <f t="shared" si="12"/>
        <v>0.94716509999999998</v>
      </c>
      <c r="P79" s="219"/>
      <c r="Q79" s="212">
        <f>(F79+K79+O79)*0.05</f>
        <v>0.8257442906250001</v>
      </c>
      <c r="R79" s="212">
        <f>F79+K79+O79+Q79</f>
        <v>17.340630103125001</v>
      </c>
    </row>
    <row r="80" spans="1:18">
      <c r="A80" s="2">
        <v>1807</v>
      </c>
      <c r="B80" s="64">
        <f>(B79+B81)/2</f>
        <v>5.3737499999999994</v>
      </c>
      <c r="C80" s="64">
        <f>(C79+C81)/2</f>
        <v>3.9E-2</v>
      </c>
      <c r="D80" s="64">
        <f>(D79+D81)/2</f>
        <v>0.15625</v>
      </c>
      <c r="E80" s="64">
        <f>(E79+E81)/2</f>
        <v>0.4</v>
      </c>
      <c r="F80" s="213">
        <f t="shared" si="11"/>
        <v>13.890880751249998</v>
      </c>
      <c r="G80" s="214">
        <f>F80*100/R80</f>
        <v>76.405050775095333</v>
      </c>
      <c r="H80" s="218">
        <f>0.15*40</f>
        <v>6</v>
      </c>
      <c r="I80" s="218">
        <v>0.14000000000000001</v>
      </c>
      <c r="J80" s="220">
        <f>(J78+J82)/2</f>
        <v>3.7</v>
      </c>
      <c r="K80" s="213">
        <f>H80*0.15873+I80*7.042254+J80*0.079365</f>
        <v>2.2319460600000003</v>
      </c>
      <c r="N80" s="212"/>
      <c r="O80" s="217">
        <f>(O79+O81)/2</f>
        <v>1.1920105000000001</v>
      </c>
      <c r="P80" s="214"/>
      <c r="Q80" s="212">
        <f>(F80+K80+O80)*0.05</f>
        <v>0.86574186556249999</v>
      </c>
      <c r="R80" s="212">
        <f>F80+K80+O80+Q80</f>
        <v>18.1805791768125</v>
      </c>
    </row>
    <row r="81" spans="1:18">
      <c r="A81" s="2">
        <v>1808</v>
      </c>
      <c r="B81" s="42">
        <v>6</v>
      </c>
      <c r="C81" s="36">
        <v>5.5E-2</v>
      </c>
      <c r="D81" s="62">
        <v>8.7499999999999994E-2</v>
      </c>
      <c r="E81" s="43">
        <v>0.4</v>
      </c>
      <c r="F81" s="213">
        <f t="shared" si="11"/>
        <v>14.569002600000001</v>
      </c>
      <c r="G81" s="214"/>
      <c r="H81" s="218">
        <v>6.4</v>
      </c>
      <c r="N81" s="212">
        <v>5.5750000000000002</v>
      </c>
      <c r="O81" s="212">
        <f t="shared" si="12"/>
        <v>1.4368559000000001</v>
      </c>
      <c r="P81" s="219"/>
      <c r="R81" s="218"/>
    </row>
    <row r="82" spans="1:18">
      <c r="A82" s="2">
        <v>1809</v>
      </c>
      <c r="B82" s="42">
        <v>6.5</v>
      </c>
      <c r="C82" s="36">
        <v>0.06</v>
      </c>
      <c r="D82" s="62">
        <v>0.25</v>
      </c>
      <c r="E82" s="43">
        <v>0.4</v>
      </c>
      <c r="F82" s="221">
        <f t="shared" si="11"/>
        <v>17.666706700000002</v>
      </c>
      <c r="G82" s="214">
        <f>F82*100/R82</f>
        <v>71.350025042982182</v>
      </c>
      <c r="H82" s="218">
        <v>7.6</v>
      </c>
      <c r="I82" s="218">
        <v>0.25</v>
      </c>
      <c r="J82" s="218">
        <v>1</v>
      </c>
      <c r="K82" s="213">
        <f>H82*0.15873+I82*7.042254+J82*0.079365</f>
        <v>3.0462765000000003</v>
      </c>
      <c r="L82" s="214">
        <f>K82*100/R82</f>
        <v>12.302910115264895</v>
      </c>
      <c r="N82" s="212">
        <v>11.13</v>
      </c>
      <c r="O82" s="212">
        <f t="shared" si="12"/>
        <v>2.8685571600000004</v>
      </c>
      <c r="P82" s="214">
        <f>O82*100/R82</f>
        <v>11.58516007984815</v>
      </c>
      <c r="Q82" s="212">
        <f>(F82+K82+O82)*0.05</f>
        <v>1.1790770180000003</v>
      </c>
      <c r="R82" s="212">
        <f>F82+K82+O82+Q82</f>
        <v>24.760617378000006</v>
      </c>
    </row>
    <row r="83" spans="1:18">
      <c r="A83" s="2">
        <v>1810</v>
      </c>
      <c r="B83" s="92">
        <f>6.5/100*20+6.5</f>
        <v>7.8</v>
      </c>
      <c r="C83" s="36">
        <v>7.0000000000000007E-2</v>
      </c>
      <c r="D83" s="62">
        <f>(0.29+0.42)/2</f>
        <v>0.35499999999999998</v>
      </c>
      <c r="E83" s="43">
        <v>0.4</v>
      </c>
      <c r="F83" s="221">
        <f t="shared" si="11"/>
        <v>21.812201399999999</v>
      </c>
      <c r="G83" s="214">
        <f>F83*100/R83</f>
        <v>72.713224960855683</v>
      </c>
      <c r="H83" s="218">
        <v>12</v>
      </c>
      <c r="I83" s="218">
        <v>0.185</v>
      </c>
      <c r="J83" s="218">
        <v>9</v>
      </c>
      <c r="K83" s="213">
        <f>H83*0.15873+I83*7.042254+J83*0.079365</f>
        <v>3.92186199</v>
      </c>
      <c r="L83" s="214">
        <f>K83*100/R83</f>
        <v>13.073931783166971</v>
      </c>
      <c r="N83" s="212">
        <v>11</v>
      </c>
      <c r="O83" s="212">
        <f t="shared" si="12"/>
        <v>2.8350520000000001</v>
      </c>
      <c r="P83" s="214">
        <f>O83*100/R83</f>
        <v>9.4509384940725809</v>
      </c>
      <c r="Q83" s="212">
        <f>(F83+K83+O83)*0.05</f>
        <v>1.4284557695000002</v>
      </c>
      <c r="R83" s="212">
        <f>F83+K83+O83+Q83</f>
        <v>29.997571159500001</v>
      </c>
    </row>
    <row r="84" spans="1:18">
      <c r="A84" s="2">
        <v>1811</v>
      </c>
      <c r="B84" s="42">
        <f>7.8/100*15+7.5</f>
        <v>8.67</v>
      </c>
      <c r="C84" s="36"/>
      <c r="D84" s="62"/>
      <c r="E84" s="43">
        <v>0.4</v>
      </c>
      <c r="J84" s="218">
        <v>4.8</v>
      </c>
      <c r="N84" s="212">
        <v>12</v>
      </c>
      <c r="O84" s="212">
        <f t="shared" si="12"/>
        <v>3.092784</v>
      </c>
      <c r="P84" s="214"/>
      <c r="R84" s="218"/>
    </row>
    <row r="85" spans="1:18">
      <c r="A85" s="2">
        <v>1812</v>
      </c>
      <c r="B85" s="42">
        <v>11.67</v>
      </c>
      <c r="C85" s="36">
        <v>9.7777777777777797E-2</v>
      </c>
      <c r="D85" s="62">
        <v>0.4366666666666667</v>
      </c>
      <c r="E85" s="2">
        <v>0.4</v>
      </c>
      <c r="F85" s="213">
        <f>2.110043*B85+12.19512*C85+12.19512*D85+E85*0.42735</f>
        <v>31.312755943333336</v>
      </c>
      <c r="G85" s="214"/>
      <c r="H85" s="218">
        <f>(9+9.93)/2</f>
        <v>9.4649999999999999</v>
      </c>
      <c r="I85" s="218">
        <v>0.26</v>
      </c>
      <c r="N85" s="212">
        <v>11.32</v>
      </c>
      <c r="O85" s="212">
        <f t="shared" si="12"/>
        <v>2.9175262400000004</v>
      </c>
      <c r="P85" s="214"/>
      <c r="R85" s="218"/>
    </row>
    <row r="86" spans="1:18">
      <c r="A86" s="2">
        <v>1813</v>
      </c>
      <c r="B86" s="42">
        <f>1.55*8</f>
        <v>12.4</v>
      </c>
      <c r="C86" s="36"/>
      <c r="D86" s="62">
        <v>0.43099999999999999</v>
      </c>
      <c r="F86" s="213"/>
      <c r="H86" s="218">
        <v>11.56</v>
      </c>
      <c r="I86" s="218">
        <v>0.32</v>
      </c>
      <c r="N86" s="212">
        <v>16</v>
      </c>
      <c r="O86" s="212">
        <f t="shared" si="12"/>
        <v>4.1237120000000003</v>
      </c>
      <c r="P86" s="214"/>
      <c r="R86" s="218"/>
    </row>
    <row r="87" spans="1:18">
      <c r="A87" s="2">
        <v>1814</v>
      </c>
      <c r="B87" s="42"/>
      <c r="C87" s="36"/>
      <c r="D87" s="62"/>
      <c r="F87" s="213"/>
      <c r="H87" s="218">
        <v>19.39</v>
      </c>
      <c r="I87" s="218">
        <v>0.25600000000000001</v>
      </c>
      <c r="N87" s="212">
        <v>17.77</v>
      </c>
      <c r="O87" s="212">
        <f t="shared" si="12"/>
        <v>4.5798976400000004</v>
      </c>
      <c r="P87" s="214"/>
      <c r="R87" s="218"/>
    </row>
    <row r="88" spans="1:18">
      <c r="A88" s="2">
        <v>1815</v>
      </c>
      <c r="B88" s="42">
        <f>1.15*8</f>
        <v>9.1999999999999993</v>
      </c>
      <c r="C88" s="36">
        <f>(0.1+0.09+0.07)/3</f>
        <v>8.666666666666667E-2</v>
      </c>
      <c r="D88" s="62">
        <v>0.45</v>
      </c>
      <c r="E88" s="2">
        <v>1.72</v>
      </c>
      <c r="F88" s="213">
        <f>2.110043*B88+12.19512*C88+12.19512*D88+E88*0.42735</f>
        <v>26.692152</v>
      </c>
      <c r="G88" s="214">
        <f>F88*100/R88</f>
        <v>67.586207351903951</v>
      </c>
      <c r="H88" s="218">
        <v>18.05</v>
      </c>
      <c r="I88" s="218">
        <v>0.32</v>
      </c>
      <c r="J88" s="218">
        <v>19.8</v>
      </c>
      <c r="K88" s="213">
        <f>H88*0.15873+I88*7.042254+J88*0.079365</f>
        <v>6.6900247799999999</v>
      </c>
      <c r="N88" s="212">
        <f>(19.83+13)/2</f>
        <v>16.414999999999999</v>
      </c>
      <c r="O88" s="212">
        <f t="shared" si="12"/>
        <v>4.2306707799999996</v>
      </c>
      <c r="P88" s="219"/>
      <c r="Q88" s="212">
        <f>(F88+K88+O88)*0.05</f>
        <v>1.8806423780000001</v>
      </c>
      <c r="R88" s="212">
        <f>F88+K88+O88+Q88</f>
        <v>39.493489937999996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6D0E-B797-4D19-95CD-C1186D095EBB}">
  <dimension ref="A1:AD67"/>
  <sheetViews>
    <sheetView topLeftCell="P31" workbookViewId="0">
      <selection activeCell="X61" sqref="X61"/>
    </sheetView>
  </sheetViews>
  <sheetFormatPr defaultRowHeight="14.25"/>
  <cols>
    <col min="3" max="6" width="9.06640625" style="68"/>
    <col min="27" max="27" width="9.06640625" hidden="1" customWidth="1"/>
    <col min="28" max="28" width="9.06640625" customWidth="1"/>
    <col min="29" max="29" width="9.06640625" hidden="1" customWidth="1"/>
    <col min="30" max="30" width="9.06640625" customWidth="1"/>
  </cols>
  <sheetData>
    <row r="1" spans="1:30">
      <c r="A1" t="s">
        <v>610</v>
      </c>
    </row>
    <row r="3" spans="1:30">
      <c r="B3" t="s">
        <v>5</v>
      </c>
      <c r="C3" s="68" t="s">
        <v>608</v>
      </c>
      <c r="D3" s="68" t="s">
        <v>609</v>
      </c>
      <c r="E3" s="68" t="s">
        <v>607</v>
      </c>
      <c r="F3" s="68" t="s">
        <v>603</v>
      </c>
      <c r="Z3" t="s">
        <v>5</v>
      </c>
      <c r="AA3" t="s">
        <v>608</v>
      </c>
      <c r="AB3" t="s">
        <v>609</v>
      </c>
      <c r="AC3" t="s">
        <v>607</v>
      </c>
      <c r="AD3" t="s">
        <v>603</v>
      </c>
    </row>
    <row r="4" spans="1:30">
      <c r="B4">
        <v>1701</v>
      </c>
      <c r="E4" s="68">
        <v>0.06</v>
      </c>
      <c r="F4" s="68">
        <v>1.4832E-2</v>
      </c>
      <c r="Z4">
        <v>1701</v>
      </c>
      <c r="AC4">
        <v>0.06</v>
      </c>
      <c r="AD4">
        <v>1.4832E-2</v>
      </c>
    </row>
    <row r="5" spans="1:30">
      <c r="B5">
        <v>1704</v>
      </c>
      <c r="C5" s="68">
        <v>0.02</v>
      </c>
      <c r="D5" s="68">
        <v>4.9440000000000005E-3</v>
      </c>
      <c r="Z5">
        <v>1704</v>
      </c>
      <c r="AA5">
        <v>0.02</v>
      </c>
      <c r="AB5">
        <v>4.9440000000000005E-3</v>
      </c>
    </row>
    <row r="6" spans="1:30">
      <c r="B6">
        <v>1718</v>
      </c>
      <c r="C6" s="68">
        <v>2.3E-2</v>
      </c>
      <c r="D6" s="68">
        <v>5.6557000000000005E-3</v>
      </c>
      <c r="Z6">
        <v>1718</v>
      </c>
      <c r="AA6">
        <v>2.3E-2</v>
      </c>
      <c r="AB6">
        <v>5.6557000000000005E-3</v>
      </c>
    </row>
    <row r="7" spans="1:30">
      <c r="B7">
        <v>1722</v>
      </c>
      <c r="E7" s="68">
        <v>2.5000000000000001E-2</v>
      </c>
      <c r="F7" s="68">
        <v>6.1475000000000002E-3</v>
      </c>
      <c r="Z7">
        <v>1722</v>
      </c>
      <c r="AC7">
        <v>2.5000000000000001E-2</v>
      </c>
      <c r="AD7">
        <v>6.1475000000000002E-3</v>
      </c>
    </row>
    <row r="8" spans="1:30">
      <c r="B8">
        <v>1724</v>
      </c>
      <c r="E8" s="68">
        <v>4.4999999999999998E-2</v>
      </c>
      <c r="F8" s="68">
        <v>1.1065500000000001E-2</v>
      </c>
      <c r="Z8">
        <v>1724</v>
      </c>
      <c r="AC8">
        <v>4.4999999999999998E-2</v>
      </c>
      <c r="AD8">
        <v>1.1065500000000001E-2</v>
      </c>
    </row>
    <row r="9" spans="1:30">
      <c r="B9">
        <v>1726</v>
      </c>
      <c r="C9" s="68">
        <v>0.1</v>
      </c>
      <c r="D9" s="68">
        <v>2.4590000000000001E-2</v>
      </c>
      <c r="Z9">
        <v>1726</v>
      </c>
      <c r="AA9">
        <v>0.1</v>
      </c>
      <c r="AB9">
        <v>2.4590000000000001E-2</v>
      </c>
    </row>
    <row r="10" spans="1:30">
      <c r="B10">
        <v>1729</v>
      </c>
      <c r="E10" s="68">
        <v>1.6E-2</v>
      </c>
      <c r="F10" s="68">
        <v>3.9344000000000002E-3</v>
      </c>
      <c r="Z10">
        <v>1729</v>
      </c>
      <c r="AC10">
        <v>1.6E-2</v>
      </c>
      <c r="AD10">
        <v>3.9344000000000002E-3</v>
      </c>
    </row>
    <row r="11" spans="1:30">
      <c r="B11">
        <v>1730</v>
      </c>
      <c r="E11" s="68">
        <v>0.08</v>
      </c>
      <c r="F11" s="68">
        <v>1.9792000000000001E-2</v>
      </c>
      <c r="Z11">
        <v>1730</v>
      </c>
      <c r="AC11">
        <v>0.08</v>
      </c>
      <c r="AD11">
        <v>1.9792000000000001E-2</v>
      </c>
    </row>
    <row r="12" spans="1:30">
      <c r="B12">
        <v>1731</v>
      </c>
      <c r="E12" s="68">
        <v>1.1999999999999999E-2</v>
      </c>
      <c r="F12" s="68">
        <v>2.9687999999999997E-3</v>
      </c>
      <c r="Z12">
        <v>1731</v>
      </c>
      <c r="AC12">
        <v>1.1999999999999999E-2</v>
      </c>
      <c r="AD12">
        <v>2.9687999999999997E-3</v>
      </c>
    </row>
    <row r="13" spans="1:30">
      <c r="B13">
        <v>1734</v>
      </c>
      <c r="E13" s="68">
        <v>1.6666666666666666E-2</v>
      </c>
      <c r="F13" s="68">
        <v>4.123333333333333E-3</v>
      </c>
      <c r="Z13">
        <v>1734</v>
      </c>
      <c r="AC13">
        <v>1.6666666666666666E-2</v>
      </c>
      <c r="AD13">
        <v>4.123333333333333E-3</v>
      </c>
    </row>
    <row r="14" spans="1:30">
      <c r="B14">
        <v>1736</v>
      </c>
      <c r="E14" s="68">
        <v>5.0000000000000001E-3</v>
      </c>
      <c r="F14" s="68">
        <v>1.237E-3</v>
      </c>
      <c r="Z14">
        <v>1736</v>
      </c>
      <c r="AC14">
        <v>5.0000000000000001E-3</v>
      </c>
      <c r="AD14">
        <v>1.237E-3</v>
      </c>
    </row>
    <row r="15" spans="1:30">
      <c r="B15">
        <v>1737</v>
      </c>
      <c r="C15" s="68">
        <v>1.4545454545454545E-2</v>
      </c>
      <c r="D15" s="68">
        <v>3.5985454545454545E-3</v>
      </c>
      <c r="E15" s="68">
        <v>1.381818181818182E-2</v>
      </c>
      <c r="F15" s="68">
        <v>3.4186181818181825E-3</v>
      </c>
      <c r="Z15">
        <v>1737</v>
      </c>
      <c r="AA15">
        <v>1.4545454545454545E-2</v>
      </c>
      <c r="AB15">
        <v>3.5985454545454545E-3</v>
      </c>
      <c r="AC15">
        <v>1.381818181818182E-2</v>
      </c>
      <c r="AD15">
        <v>3.4186181818181825E-3</v>
      </c>
    </row>
    <row r="16" spans="1:30">
      <c r="B16">
        <v>1738</v>
      </c>
      <c r="E16" s="68">
        <v>3.833333333333333E-2</v>
      </c>
      <c r="F16" s="68">
        <v>9.4836666666666663E-3</v>
      </c>
      <c r="Z16">
        <v>1738</v>
      </c>
      <c r="AC16">
        <v>3.833333333333333E-2</v>
      </c>
      <c r="AD16">
        <v>9.4836666666666663E-3</v>
      </c>
    </row>
    <row r="17" spans="2:30">
      <c r="B17">
        <v>1739</v>
      </c>
      <c r="E17" s="68">
        <v>1.6666666666666666E-2</v>
      </c>
      <c r="F17" s="68">
        <v>4.123333333333333E-3</v>
      </c>
      <c r="Z17">
        <v>1739</v>
      </c>
      <c r="AC17">
        <v>1.6666666666666666E-2</v>
      </c>
      <c r="AD17">
        <v>4.123333333333333E-3</v>
      </c>
    </row>
    <row r="18" spans="2:30">
      <c r="B18">
        <v>1740</v>
      </c>
      <c r="E18" s="68">
        <v>1.3000000000000001E-2</v>
      </c>
      <c r="F18" s="68">
        <v>3.2162000000000002E-3</v>
      </c>
      <c r="Z18">
        <v>1740</v>
      </c>
      <c r="AC18">
        <v>1.3000000000000001E-2</v>
      </c>
      <c r="AD18">
        <v>3.2162000000000002E-3</v>
      </c>
    </row>
    <row r="19" spans="2:30">
      <c r="B19">
        <v>1741</v>
      </c>
      <c r="C19" s="68">
        <v>0.12</v>
      </c>
      <c r="D19" s="68">
        <v>2.9687999999999999E-2</v>
      </c>
      <c r="Z19">
        <v>1741</v>
      </c>
      <c r="AA19">
        <v>0.12</v>
      </c>
      <c r="AB19">
        <v>2.9687999999999999E-2</v>
      </c>
    </row>
    <row r="20" spans="2:30">
      <c r="B20">
        <v>1749</v>
      </c>
      <c r="C20" s="68">
        <v>0.36085326086956526</v>
      </c>
      <c r="D20" s="68">
        <v>8.927509673913045E-2</v>
      </c>
      <c r="Z20">
        <v>1749</v>
      </c>
      <c r="AA20">
        <v>0.36085326086956526</v>
      </c>
      <c r="AB20">
        <v>8.927509673913045E-2</v>
      </c>
    </row>
    <row r="21" spans="2:30">
      <c r="B21">
        <v>1756</v>
      </c>
      <c r="E21" s="68">
        <v>0.02</v>
      </c>
      <c r="F21" s="68">
        <v>4.9480000000000001E-3</v>
      </c>
      <c r="Z21">
        <v>1756</v>
      </c>
      <c r="AC21">
        <v>0.02</v>
      </c>
      <c r="AD21">
        <v>4.9480000000000001E-3</v>
      </c>
    </row>
    <row r="22" spans="2:30">
      <c r="B22">
        <v>1757</v>
      </c>
      <c r="C22" s="68">
        <v>0.15</v>
      </c>
      <c r="D22" s="68">
        <v>3.7109999999999997E-2</v>
      </c>
      <c r="Z22">
        <v>1757</v>
      </c>
      <c r="AA22">
        <v>0.15</v>
      </c>
      <c r="AB22">
        <v>3.7109999999999997E-2</v>
      </c>
    </row>
    <row r="23" spans="2:30">
      <c r="B23">
        <v>1759</v>
      </c>
      <c r="C23" s="68">
        <v>0.24</v>
      </c>
      <c r="D23" s="68">
        <v>5.9375999999999998E-2</v>
      </c>
      <c r="Z23">
        <v>1759</v>
      </c>
      <c r="AA23">
        <v>0.24</v>
      </c>
      <c r="AB23">
        <v>5.9375999999999998E-2</v>
      </c>
    </row>
    <row r="24" spans="2:30">
      <c r="B24">
        <v>1762</v>
      </c>
      <c r="E24" s="68">
        <v>0.04</v>
      </c>
      <c r="F24" s="68">
        <v>9.8960000000000003E-3</v>
      </c>
      <c r="Z24">
        <v>1762</v>
      </c>
      <c r="AC24">
        <v>0.04</v>
      </c>
      <c r="AD24">
        <v>9.8960000000000003E-3</v>
      </c>
    </row>
    <row r="25" spans="2:30">
      <c r="B25">
        <v>1764</v>
      </c>
      <c r="C25" s="68">
        <v>0.5714285714285714</v>
      </c>
      <c r="D25" s="68">
        <v>0.10285714285714284</v>
      </c>
      <c r="E25" s="68">
        <v>0.11333333333333333</v>
      </c>
      <c r="F25" s="68">
        <v>2.0399999999999998E-2</v>
      </c>
      <c r="Z25">
        <v>1764</v>
      </c>
      <c r="AA25">
        <v>0.5714285714285714</v>
      </c>
      <c r="AB25">
        <v>0.10285714285714284</v>
      </c>
      <c r="AC25">
        <v>0.11333333333333333</v>
      </c>
      <c r="AD25">
        <v>2.0399999999999998E-2</v>
      </c>
    </row>
    <row r="26" spans="2:30">
      <c r="B26">
        <v>1765</v>
      </c>
      <c r="Z26">
        <v>1765</v>
      </c>
    </row>
    <row r="27" spans="2:30">
      <c r="B27">
        <v>1766</v>
      </c>
      <c r="C27" s="68">
        <v>0.25</v>
      </c>
      <c r="D27" s="68">
        <v>4.4999999999999998E-2</v>
      </c>
      <c r="Z27">
        <v>1766</v>
      </c>
      <c r="AA27">
        <v>0.25</v>
      </c>
      <c r="AB27">
        <v>4.4999999999999998E-2</v>
      </c>
    </row>
    <row r="28" spans="2:30">
      <c r="B28">
        <v>1767</v>
      </c>
      <c r="C28" s="68">
        <v>0.16</v>
      </c>
      <c r="D28" s="68">
        <v>2.8799999999999999E-2</v>
      </c>
      <c r="E28" s="68">
        <v>0.05</v>
      </c>
      <c r="F28" s="68">
        <v>8.9999999999999993E-3</v>
      </c>
      <c r="Z28">
        <v>1767</v>
      </c>
      <c r="AA28">
        <v>0.16</v>
      </c>
      <c r="AB28">
        <v>2.8799999999999999E-2</v>
      </c>
      <c r="AC28">
        <v>0.05</v>
      </c>
      <c r="AD28">
        <v>8.9999999999999993E-3</v>
      </c>
    </row>
    <row r="29" spans="2:30">
      <c r="B29">
        <v>1769</v>
      </c>
      <c r="C29" s="68">
        <v>7.0000000000000007E-2</v>
      </c>
      <c r="D29" s="68">
        <v>1.2475247524752476E-2</v>
      </c>
      <c r="E29" s="68">
        <v>0.05</v>
      </c>
      <c r="F29" s="68">
        <v>8.9108910891089101E-3</v>
      </c>
      <c r="Z29">
        <v>1769</v>
      </c>
      <c r="AA29">
        <v>7.0000000000000007E-2</v>
      </c>
      <c r="AB29">
        <v>1.2475247524752476E-2</v>
      </c>
      <c r="AC29">
        <v>0.05</v>
      </c>
      <c r="AD29">
        <v>8.9108910891089101E-3</v>
      </c>
    </row>
    <row r="30" spans="2:30">
      <c r="B30">
        <v>1772</v>
      </c>
      <c r="E30" s="68">
        <v>0.08</v>
      </c>
      <c r="F30" s="68">
        <v>1.4117647058823528E-2</v>
      </c>
      <c r="Z30">
        <v>1772</v>
      </c>
      <c r="AC30">
        <v>0.08</v>
      </c>
      <c r="AD30">
        <v>1.4117647058823528E-2</v>
      </c>
    </row>
    <row r="31" spans="2:30">
      <c r="B31">
        <v>1773</v>
      </c>
      <c r="C31" s="68">
        <v>0.26650000000000001</v>
      </c>
      <c r="D31" s="68">
        <v>4.7969999999999999E-2</v>
      </c>
      <c r="Z31">
        <v>1773</v>
      </c>
      <c r="AA31">
        <v>0.26650000000000001</v>
      </c>
      <c r="AB31">
        <v>4.7969999999999999E-2</v>
      </c>
    </row>
    <row r="32" spans="2:30">
      <c r="B32">
        <v>1776</v>
      </c>
      <c r="E32" s="68">
        <v>0.2</v>
      </c>
      <c r="F32" s="68">
        <v>3.5643564356435641E-2</v>
      </c>
      <c r="Z32">
        <v>1776</v>
      </c>
      <c r="AC32">
        <v>0.2</v>
      </c>
      <c r="AD32">
        <v>3.5643564356435641E-2</v>
      </c>
    </row>
    <row r="33" spans="2:30">
      <c r="B33">
        <v>1777</v>
      </c>
      <c r="C33" s="68">
        <v>0.24152499999999999</v>
      </c>
      <c r="D33" s="68">
        <v>4.3044059405940589E-2</v>
      </c>
      <c r="E33" s="68">
        <v>0.17666666666666667</v>
      </c>
      <c r="F33" s="68">
        <v>3.1485148514851485E-2</v>
      </c>
      <c r="Z33">
        <v>1777</v>
      </c>
      <c r="AA33">
        <v>0.24152499999999999</v>
      </c>
      <c r="AB33">
        <v>4.3044059405940589E-2</v>
      </c>
      <c r="AC33">
        <v>0.17666666666666667</v>
      </c>
      <c r="AD33">
        <v>3.1485148514851485E-2</v>
      </c>
    </row>
    <row r="34" spans="2:30">
      <c r="B34">
        <v>1778</v>
      </c>
      <c r="C34" s="68">
        <v>0.45305000000000001</v>
      </c>
      <c r="D34" s="68">
        <v>8.0741584158415841E-2</v>
      </c>
      <c r="E34" s="68">
        <v>0.15846874999999996</v>
      </c>
      <c r="F34" s="68">
        <v>2.8241955445544545E-2</v>
      </c>
      <c r="Z34">
        <v>1778</v>
      </c>
      <c r="AA34">
        <v>0.45305000000000001</v>
      </c>
      <c r="AB34">
        <v>8.0741584158415841E-2</v>
      </c>
      <c r="AC34">
        <v>0.15846874999999996</v>
      </c>
      <c r="AD34">
        <v>2.8241955445544545E-2</v>
      </c>
    </row>
    <row r="35" spans="2:30">
      <c r="B35">
        <v>1779</v>
      </c>
      <c r="C35" s="68">
        <v>0.32871666666666666</v>
      </c>
      <c r="D35" s="68">
        <v>5.8583168316831677E-2</v>
      </c>
      <c r="E35" s="68">
        <v>0.12999999999999998</v>
      </c>
      <c r="F35" s="68">
        <v>2.3168316831683165E-2</v>
      </c>
      <c r="Z35">
        <v>1779</v>
      </c>
      <c r="AA35">
        <v>0.32871666666666666</v>
      </c>
      <c r="AB35">
        <v>5.8583168316831677E-2</v>
      </c>
      <c r="AC35">
        <v>0.12999999999999998</v>
      </c>
      <c r="AD35">
        <v>2.3168316831683165E-2</v>
      </c>
    </row>
    <row r="36" spans="2:30">
      <c r="B36">
        <v>1780</v>
      </c>
      <c r="C36" s="68">
        <v>0.31552666666666668</v>
      </c>
      <c r="D36" s="68">
        <v>5.6232475247524755E-2</v>
      </c>
      <c r="E36" s="68">
        <v>0.14466666666666667</v>
      </c>
      <c r="F36" s="68">
        <v>2.5782178217821781E-2</v>
      </c>
      <c r="Z36">
        <v>1780</v>
      </c>
      <c r="AA36">
        <v>0.31552666666666668</v>
      </c>
      <c r="AB36">
        <v>5.6232475247524755E-2</v>
      </c>
      <c r="AC36">
        <v>0.14466666666666667</v>
      </c>
      <c r="AD36">
        <v>2.5782178217821781E-2</v>
      </c>
    </row>
    <row r="37" spans="2:30">
      <c r="B37">
        <v>1781</v>
      </c>
      <c r="C37" s="68">
        <v>0.44772000000000001</v>
      </c>
      <c r="D37" s="68">
        <v>7.9791683168316835E-2</v>
      </c>
      <c r="Z37">
        <v>1781</v>
      </c>
      <c r="AA37">
        <v>0.44772000000000001</v>
      </c>
      <c r="AB37">
        <v>7.9791683168316835E-2</v>
      </c>
    </row>
    <row r="38" spans="2:30">
      <c r="B38">
        <v>1784</v>
      </c>
      <c r="E38" s="68">
        <v>0.14083333333333334</v>
      </c>
      <c r="F38" s="68">
        <v>2.4852941176470588E-2</v>
      </c>
      <c r="Z38">
        <v>1784</v>
      </c>
      <c r="AC38">
        <v>0.14083333333333334</v>
      </c>
      <c r="AD38">
        <v>2.4852941176470588E-2</v>
      </c>
    </row>
    <row r="39" spans="2:30">
      <c r="B39">
        <v>1785</v>
      </c>
      <c r="E39" s="68">
        <v>0.13571428571428573</v>
      </c>
      <c r="F39" s="68">
        <v>2.3949579831932771E-2</v>
      </c>
      <c r="Z39">
        <v>1785</v>
      </c>
      <c r="AC39">
        <v>0.13571428571428573</v>
      </c>
      <c r="AD39">
        <v>2.3949579831932771E-2</v>
      </c>
    </row>
    <row r="40" spans="2:30">
      <c r="B40">
        <v>1786</v>
      </c>
      <c r="E40" s="68">
        <v>0.1</v>
      </c>
      <c r="F40" s="68">
        <v>1.7475728155339806E-2</v>
      </c>
      <c r="Z40">
        <v>1786</v>
      </c>
      <c r="AC40">
        <v>0.1</v>
      </c>
      <c r="AD40">
        <v>1.7475728155339806E-2</v>
      </c>
    </row>
    <row r="41" spans="2:30">
      <c r="B41">
        <v>1787</v>
      </c>
      <c r="E41" s="68">
        <v>0.18333333333333335</v>
      </c>
      <c r="F41" s="68">
        <v>3.0555555555555555E-2</v>
      </c>
      <c r="Z41">
        <v>1787</v>
      </c>
      <c r="AC41">
        <v>0.18333333333333335</v>
      </c>
      <c r="AD41">
        <v>3.0555555555555555E-2</v>
      </c>
    </row>
    <row r="42" spans="2:30">
      <c r="B42">
        <v>1788</v>
      </c>
      <c r="E42" s="68">
        <v>0.14083333333333334</v>
      </c>
      <c r="F42" s="68">
        <v>2.3256880733944951E-2</v>
      </c>
      <c r="Z42">
        <v>1788</v>
      </c>
      <c r="AC42">
        <v>0.14083333333333334</v>
      </c>
      <c r="AD42">
        <v>2.3256880733944951E-2</v>
      </c>
    </row>
    <row r="43" spans="2:30">
      <c r="B43">
        <v>1789</v>
      </c>
      <c r="C43" s="68">
        <v>0.25</v>
      </c>
      <c r="D43" s="68">
        <v>3.9130434782608699E-2</v>
      </c>
      <c r="E43" s="68">
        <v>0.16499999999999998</v>
      </c>
      <c r="F43" s="68">
        <v>2.5826086956521738E-2</v>
      </c>
      <c r="Z43">
        <v>1789</v>
      </c>
      <c r="AA43">
        <v>0.25</v>
      </c>
      <c r="AB43">
        <v>3.9130434782608699E-2</v>
      </c>
      <c r="AC43">
        <v>0.16499999999999998</v>
      </c>
      <c r="AD43">
        <v>2.5826086956521738E-2</v>
      </c>
    </row>
    <row r="44" spans="2:30">
      <c r="B44">
        <v>1790</v>
      </c>
      <c r="C44" s="68">
        <v>0.48333333333333339</v>
      </c>
      <c r="D44" s="68">
        <v>7.0731707317073178E-2</v>
      </c>
      <c r="E44" s="68">
        <v>0.170375</v>
      </c>
      <c r="F44" s="68">
        <v>2.4932926829268291E-2</v>
      </c>
      <c r="Z44">
        <v>1790</v>
      </c>
      <c r="AA44">
        <v>0.48333333333333339</v>
      </c>
      <c r="AB44">
        <v>7.0731707317073178E-2</v>
      </c>
      <c r="AC44">
        <v>0.170375</v>
      </c>
      <c r="AD44">
        <v>2.4932926829268291E-2</v>
      </c>
    </row>
    <row r="45" spans="2:30">
      <c r="B45">
        <v>1791</v>
      </c>
      <c r="C45" s="68">
        <v>0.40508000000000005</v>
      </c>
      <c r="D45" s="68">
        <v>5.7868571428571429E-2</v>
      </c>
      <c r="Z45">
        <v>1791</v>
      </c>
      <c r="AA45">
        <v>0.40508000000000005</v>
      </c>
      <c r="AB45">
        <v>5.7868571428571429E-2</v>
      </c>
    </row>
    <row r="46" spans="2:30">
      <c r="B46">
        <v>1793</v>
      </c>
      <c r="E46" s="68">
        <v>0.11166666666666665</v>
      </c>
      <c r="F46" s="68">
        <v>1.4255319148936168E-2</v>
      </c>
      <c r="Z46">
        <v>1793</v>
      </c>
      <c r="AC46">
        <v>0.11166666666666665</v>
      </c>
      <c r="AD46">
        <v>1.4255319148936168E-2</v>
      </c>
    </row>
    <row r="47" spans="2:30">
      <c r="B47">
        <v>1794</v>
      </c>
      <c r="C47" s="68">
        <v>0.154</v>
      </c>
      <c r="D47" s="68">
        <v>1.8986301369863012E-2</v>
      </c>
      <c r="E47" s="68">
        <v>0.25</v>
      </c>
      <c r="F47" s="68">
        <v>3.0821917808219176E-2</v>
      </c>
      <c r="Z47">
        <v>1794</v>
      </c>
      <c r="AA47">
        <v>0.154</v>
      </c>
      <c r="AB47">
        <v>1.8986301369863012E-2</v>
      </c>
      <c r="AC47">
        <v>0.25</v>
      </c>
      <c r="AD47">
        <v>3.0821917808219176E-2</v>
      </c>
    </row>
    <row r="48" spans="2:30">
      <c r="B48">
        <v>1795</v>
      </c>
      <c r="C48" s="68">
        <v>0.1</v>
      </c>
      <c r="D48" s="68">
        <v>1.2676056338028169E-2</v>
      </c>
      <c r="Z48">
        <v>1795</v>
      </c>
      <c r="AA48">
        <v>0.1</v>
      </c>
      <c r="AB48">
        <v>1.2676056338028169E-2</v>
      </c>
    </row>
    <row r="49" spans="2:30">
      <c r="B49">
        <v>1796</v>
      </c>
      <c r="C49" s="68">
        <v>0.55000000000000004</v>
      </c>
      <c r="D49" s="68">
        <v>7.857142857142857E-2</v>
      </c>
      <c r="E49" s="68">
        <v>0.25</v>
      </c>
      <c r="F49" s="68">
        <v>3.5714285714285712E-2</v>
      </c>
      <c r="Z49">
        <v>1796</v>
      </c>
      <c r="AA49">
        <v>0.55000000000000004</v>
      </c>
      <c r="AB49">
        <v>7.857142857142857E-2</v>
      </c>
      <c r="AC49">
        <v>0.25</v>
      </c>
      <c r="AD49">
        <v>3.5714285714285712E-2</v>
      </c>
    </row>
    <row r="50" spans="2:30">
      <c r="B50">
        <v>1797</v>
      </c>
      <c r="C50" s="68">
        <v>0.23</v>
      </c>
      <c r="D50" s="68">
        <v>3.0218978102189781E-2</v>
      </c>
      <c r="Z50">
        <v>1797</v>
      </c>
      <c r="AA50">
        <v>0.23</v>
      </c>
      <c r="AB50">
        <v>3.0218978102189781E-2</v>
      </c>
    </row>
    <row r="51" spans="2:30">
      <c r="B51">
        <v>1798</v>
      </c>
      <c r="C51" s="68">
        <v>0.15</v>
      </c>
      <c r="D51" s="68">
        <v>1.7880794701986755E-2</v>
      </c>
      <c r="E51" s="68">
        <v>0.1</v>
      </c>
      <c r="F51" s="68">
        <v>1.1920529801324504E-2</v>
      </c>
      <c r="Z51">
        <v>1798</v>
      </c>
      <c r="AA51">
        <v>0.15</v>
      </c>
      <c r="AB51">
        <v>1.7880794701986755E-2</v>
      </c>
      <c r="AC51">
        <v>0.1</v>
      </c>
      <c r="AD51">
        <v>1.1920529801324504E-2</v>
      </c>
    </row>
    <row r="52" spans="2:30">
      <c r="B52">
        <v>1800</v>
      </c>
      <c r="C52" s="68">
        <v>0.60761999999999994</v>
      </c>
      <c r="D52" s="68">
        <v>7.2431523178807938E-2</v>
      </c>
      <c r="E52" s="68">
        <v>0.22750000000000004</v>
      </c>
      <c r="F52" s="68">
        <v>2.7119205298013253E-2</v>
      </c>
      <c r="Z52">
        <v>1800</v>
      </c>
      <c r="AA52">
        <v>0.60761999999999994</v>
      </c>
      <c r="AB52">
        <v>7.2431523178807938E-2</v>
      </c>
      <c r="AC52">
        <v>0.22750000000000004</v>
      </c>
      <c r="AD52">
        <v>2.7119205298013253E-2</v>
      </c>
    </row>
    <row r="53" spans="2:30">
      <c r="B53">
        <v>1801</v>
      </c>
      <c r="Z53">
        <v>1801</v>
      </c>
    </row>
    <row r="54" spans="2:30">
      <c r="B54">
        <v>1802</v>
      </c>
      <c r="Z54">
        <v>1802</v>
      </c>
    </row>
    <row r="55" spans="2:30">
      <c r="B55">
        <v>1803</v>
      </c>
      <c r="Z55">
        <v>1803</v>
      </c>
    </row>
    <row r="56" spans="2:30">
      <c r="B56">
        <v>1804</v>
      </c>
      <c r="Z56">
        <v>1804</v>
      </c>
    </row>
    <row r="57" spans="2:30">
      <c r="B57">
        <v>1805</v>
      </c>
      <c r="Z57">
        <v>1805</v>
      </c>
    </row>
    <row r="58" spans="2:30">
      <c r="B58">
        <v>1806</v>
      </c>
      <c r="C58" s="68">
        <v>0.55000000000000004</v>
      </c>
      <c r="D58" s="68">
        <v>6.6442953020134227E-2</v>
      </c>
      <c r="E58" s="68">
        <v>0.4</v>
      </c>
      <c r="F58" s="68">
        <v>4.832214765100671E-2</v>
      </c>
      <c r="Z58">
        <v>1806</v>
      </c>
      <c r="AA58">
        <v>0.55000000000000004</v>
      </c>
      <c r="AB58">
        <v>6.6442953020134227E-2</v>
      </c>
      <c r="AC58">
        <v>0.4</v>
      </c>
      <c r="AD58">
        <v>4.832214765100671E-2</v>
      </c>
    </row>
    <row r="59" spans="2:30">
      <c r="B59">
        <v>1807</v>
      </c>
      <c r="Z59">
        <v>1807</v>
      </c>
    </row>
    <row r="60" spans="2:30">
      <c r="B60">
        <v>1808</v>
      </c>
      <c r="Z60">
        <v>1808</v>
      </c>
    </row>
    <row r="61" spans="2:30">
      <c r="B61">
        <v>1809</v>
      </c>
      <c r="C61" s="68">
        <v>1.35</v>
      </c>
      <c r="D61" s="68">
        <v>8.0190000000000011E-2</v>
      </c>
      <c r="Z61">
        <v>1809</v>
      </c>
      <c r="AA61">
        <v>1.35</v>
      </c>
      <c r="AB61">
        <v>8.0190000000000011E-2</v>
      </c>
    </row>
    <row r="62" spans="2:30">
      <c r="B62">
        <v>1810</v>
      </c>
      <c r="C62" s="68">
        <v>1.375</v>
      </c>
      <c r="D62" s="68">
        <v>6.5339999999999995E-2</v>
      </c>
      <c r="Z62">
        <v>1810</v>
      </c>
      <c r="AA62">
        <v>1.375</v>
      </c>
      <c r="AB62">
        <v>6.5339999999999995E-2</v>
      </c>
    </row>
    <row r="63" spans="2:30">
      <c r="B63">
        <v>1811</v>
      </c>
      <c r="Z63">
        <v>1811</v>
      </c>
    </row>
    <row r="64" spans="2:30">
      <c r="B64">
        <v>1812</v>
      </c>
      <c r="Z64">
        <v>1812</v>
      </c>
    </row>
    <row r="65" spans="2:30">
      <c r="B65">
        <v>1813</v>
      </c>
      <c r="Z65">
        <v>1813</v>
      </c>
    </row>
    <row r="66" spans="2:30">
      <c r="B66">
        <v>1814</v>
      </c>
      <c r="Z66">
        <v>1814</v>
      </c>
    </row>
    <row r="67" spans="2:30">
      <c r="B67">
        <v>1815</v>
      </c>
      <c r="C67" s="68">
        <v>2.5</v>
      </c>
      <c r="D67" s="68">
        <v>0.09</v>
      </c>
      <c r="E67" s="68">
        <v>1.86</v>
      </c>
      <c r="F67" s="68">
        <v>6.6960000000000006E-2</v>
      </c>
      <c r="Z67">
        <v>1815</v>
      </c>
      <c r="AA67">
        <v>2.5</v>
      </c>
      <c r="AB67">
        <v>0.09</v>
      </c>
      <c r="AC67">
        <v>1.86</v>
      </c>
      <c r="AD67">
        <v>6.6960000000000006E-2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0193-E73F-4512-992E-37956ACE89CF}">
  <dimension ref="B3:B62"/>
  <sheetViews>
    <sheetView workbookViewId="0">
      <selection activeCell="B3" sqref="B3"/>
    </sheetView>
  </sheetViews>
  <sheetFormatPr defaultRowHeight="14.25"/>
  <sheetData>
    <row r="3" spans="2:2">
      <c r="B3" s="203" t="s">
        <v>777</v>
      </c>
    </row>
    <row r="4" spans="2:2">
      <c r="B4" s="202"/>
    </row>
    <row r="5" spans="2:2">
      <c r="B5" s="202"/>
    </row>
    <row r="6" spans="2:2">
      <c r="B6" s="204" t="s">
        <v>778</v>
      </c>
    </row>
    <row r="7" spans="2:2">
      <c r="B7" s="204" t="s">
        <v>779</v>
      </c>
    </row>
    <row r="8" spans="2:2">
      <c r="B8" s="204" t="s">
        <v>780</v>
      </c>
    </row>
    <row r="9" spans="2:2">
      <c r="B9" s="202"/>
    </row>
    <row r="10" spans="2:2">
      <c r="B10" s="203" t="s">
        <v>781</v>
      </c>
    </row>
    <row r="11" spans="2:2">
      <c r="B11" s="202"/>
    </row>
    <row r="12" spans="2:2">
      <c r="B12" s="202"/>
    </row>
    <row r="13" spans="2:2">
      <c r="B13" s="204" t="s">
        <v>782</v>
      </c>
    </row>
    <row r="14" spans="2:2">
      <c r="B14" s="204" t="s">
        <v>783</v>
      </c>
    </row>
    <row r="15" spans="2:2">
      <c r="B15" s="202"/>
    </row>
    <row r="16" spans="2:2">
      <c r="B16" s="203" t="s">
        <v>784</v>
      </c>
    </row>
    <row r="17" spans="2:2">
      <c r="B17" s="202"/>
    </row>
    <row r="18" spans="2:2">
      <c r="B18" s="202"/>
    </row>
    <row r="19" spans="2:2">
      <c r="B19" s="204" t="s">
        <v>785</v>
      </c>
    </row>
    <row r="20" spans="2:2">
      <c r="B20" s="204" t="s">
        <v>786</v>
      </c>
    </row>
    <row r="22" spans="2:2" ht="17.649999999999999">
      <c r="B22" s="205" t="s">
        <v>787</v>
      </c>
    </row>
    <row r="23" spans="2:2">
      <c r="B23" s="202"/>
    </row>
    <row r="24" spans="2:2">
      <c r="B24" s="203" t="s">
        <v>788</v>
      </c>
    </row>
    <row r="25" spans="2:2">
      <c r="B25" s="202"/>
    </row>
    <row r="26" spans="2:2">
      <c r="B26" s="202"/>
    </row>
    <row r="27" spans="2:2">
      <c r="B27" s="204" t="s">
        <v>789</v>
      </c>
    </row>
    <row r="28" spans="2:2">
      <c r="B28" s="204" t="s">
        <v>790</v>
      </c>
    </row>
    <row r="29" spans="2:2">
      <c r="B29" s="202"/>
    </row>
    <row r="30" spans="2:2">
      <c r="B30" s="203" t="s">
        <v>791</v>
      </c>
    </row>
    <row r="31" spans="2:2">
      <c r="B31" s="202"/>
    </row>
    <row r="32" spans="2:2">
      <c r="B32" s="202"/>
    </row>
    <row r="33" spans="2:2">
      <c r="B33" s="204" t="s">
        <v>792</v>
      </c>
    </row>
    <row r="34" spans="2:2">
      <c r="B34" s="202"/>
    </row>
    <row r="35" spans="2:2">
      <c r="B35" s="203" t="s">
        <v>793</v>
      </c>
    </row>
    <row r="37" spans="2:2" ht="17.649999999999999">
      <c r="B37" s="205" t="s">
        <v>794</v>
      </c>
    </row>
    <row r="38" spans="2:2">
      <c r="B38" s="202"/>
    </row>
    <row r="39" spans="2:2">
      <c r="B39" s="203" t="s">
        <v>795</v>
      </c>
    </row>
    <row r="40" spans="2:2">
      <c r="B40" s="202"/>
    </row>
    <row r="41" spans="2:2">
      <c r="B41" s="202" t="s">
        <v>796</v>
      </c>
    </row>
    <row r="42" spans="2:2">
      <c r="B42" s="202"/>
    </row>
    <row r="43" spans="2:2">
      <c r="B43" s="203" t="s">
        <v>797</v>
      </c>
    </row>
    <row r="44" spans="2:2">
      <c r="B44" s="202"/>
    </row>
    <row r="45" spans="2:2">
      <c r="B45" s="202" t="s">
        <v>798</v>
      </c>
    </row>
    <row r="47" spans="2:2" ht="17.649999999999999">
      <c r="B47" s="205" t="s">
        <v>799</v>
      </c>
    </row>
    <row r="49" spans="2:2">
      <c r="B49" t="s">
        <v>800</v>
      </c>
    </row>
    <row r="50" spans="2:2">
      <c r="B50" s="202"/>
    </row>
    <row r="51" spans="2:2">
      <c r="B51" s="203" t="s">
        <v>801</v>
      </c>
    </row>
    <row r="52" spans="2:2">
      <c r="B52" s="203" t="s">
        <v>802</v>
      </c>
    </row>
    <row r="54" spans="2:2">
      <c r="B54" t="s">
        <v>803</v>
      </c>
    </row>
    <row r="56" spans="2:2">
      <c r="B56" t="s">
        <v>804</v>
      </c>
    </row>
    <row r="58" spans="2:2" ht="17.649999999999999">
      <c r="B58" s="205" t="s">
        <v>805</v>
      </c>
    </row>
    <row r="60" spans="2:2">
      <c r="B60" t="s">
        <v>806</v>
      </c>
    </row>
    <row r="62" spans="2:2">
      <c r="B62" t="s">
        <v>807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V68"/>
  <sheetViews>
    <sheetView zoomScaleNormal="100" workbookViewId="0">
      <selection activeCell="I4" sqref="I4"/>
    </sheetView>
  </sheetViews>
  <sheetFormatPr defaultRowHeight="14.25"/>
  <cols>
    <col min="4" max="4" width="10.796875" bestFit="1" customWidth="1"/>
    <col min="5" max="6" width="10.796875" customWidth="1"/>
    <col min="7" max="7" width="17.06640625" customWidth="1"/>
    <col min="8" max="8" width="15.73046875" customWidth="1"/>
    <col min="9" max="9" width="10.796875" customWidth="1"/>
    <col min="10" max="10" width="14.59765625" customWidth="1"/>
  </cols>
  <sheetData>
    <row r="3" spans="1:22">
      <c r="A3" s="3" t="s">
        <v>295</v>
      </c>
      <c r="B3" t="s">
        <v>311</v>
      </c>
      <c r="C3" t="s">
        <v>311</v>
      </c>
      <c r="G3" t="s">
        <v>26</v>
      </c>
      <c r="H3" t="s">
        <v>25</v>
      </c>
      <c r="I3" s="56" t="s">
        <v>321</v>
      </c>
      <c r="J3" t="s">
        <v>13</v>
      </c>
      <c r="K3" t="s">
        <v>324</v>
      </c>
      <c r="L3" t="s">
        <v>14</v>
      </c>
      <c r="N3" t="s">
        <v>15</v>
      </c>
      <c r="P3" t="s">
        <v>16</v>
      </c>
      <c r="Q3" t="s">
        <v>325</v>
      </c>
      <c r="S3" s="49" t="s">
        <v>309</v>
      </c>
      <c r="T3" s="49" t="s">
        <v>310</v>
      </c>
    </row>
    <row r="4" spans="1:22">
      <c r="A4" s="2">
        <v>1718</v>
      </c>
      <c r="C4">
        <v>2.3E-2</v>
      </c>
      <c r="F4" t="s">
        <v>582</v>
      </c>
      <c r="I4" s="102"/>
      <c r="K4">
        <v>2.3E-2</v>
      </c>
      <c r="M4">
        <v>11</v>
      </c>
      <c r="S4" s="49"/>
      <c r="T4" s="49"/>
    </row>
    <row r="5" spans="1:22">
      <c r="A5" s="2">
        <v>1722</v>
      </c>
      <c r="B5">
        <v>2.5000000000000001E-2</v>
      </c>
      <c r="F5" t="s">
        <v>17</v>
      </c>
      <c r="I5" s="102">
        <f>(B5+B6+B9)/3</f>
        <v>2.866666666666667E-2</v>
      </c>
      <c r="J5">
        <v>34.619645494830124</v>
      </c>
      <c r="K5" s="56">
        <v>0.1</v>
      </c>
      <c r="L5">
        <v>26.267984813602379</v>
      </c>
      <c r="M5" s="56">
        <v>14.7</v>
      </c>
      <c r="N5">
        <v>50</v>
      </c>
      <c r="O5">
        <v>65.5</v>
      </c>
      <c r="P5">
        <v>104.29936305732484</v>
      </c>
      <c r="Q5" s="56"/>
      <c r="S5" s="49"/>
      <c r="T5" s="49"/>
      <c r="V5" t="s">
        <v>12</v>
      </c>
    </row>
    <row r="6" spans="1:22">
      <c r="A6" s="2">
        <v>1724</v>
      </c>
      <c r="B6">
        <v>4.4999999999999998E-2</v>
      </c>
      <c r="F6" t="s">
        <v>18</v>
      </c>
      <c r="I6" s="102">
        <f>(B10+B11+B12+B13+B14+B15)/6</f>
        <v>2.7636363636363636E-2</v>
      </c>
      <c r="J6">
        <v>33.234859675036923</v>
      </c>
      <c r="K6" s="56"/>
      <c r="L6">
        <v>25.21726542105829</v>
      </c>
      <c r="M6" s="56">
        <v>15.9</v>
      </c>
      <c r="N6">
        <v>54.081632653061227</v>
      </c>
      <c r="O6">
        <v>66.3</v>
      </c>
      <c r="P6">
        <v>105.57324840764332</v>
      </c>
      <c r="Q6" s="56"/>
      <c r="S6" s="49"/>
      <c r="T6" s="49"/>
    </row>
    <row r="7" spans="1:22">
      <c r="A7" s="2">
        <v>1726</v>
      </c>
      <c r="C7">
        <v>0.1</v>
      </c>
      <c r="F7" t="s">
        <v>19</v>
      </c>
      <c r="I7" s="102">
        <f>B16</f>
        <v>1.2999999999999999E-2</v>
      </c>
      <c r="J7">
        <v>66.469719350073845</v>
      </c>
      <c r="K7" s="56">
        <f>(C17+C18)/2</f>
        <v>0.24</v>
      </c>
      <c r="L7">
        <v>50.43453084211658</v>
      </c>
      <c r="M7" s="56">
        <v>11.3</v>
      </c>
      <c r="N7">
        <v>38.435374149659864</v>
      </c>
      <c r="O7">
        <v>45.9</v>
      </c>
      <c r="P7">
        <v>73.089171974522301</v>
      </c>
      <c r="Q7" s="56"/>
      <c r="S7" s="55">
        <f>22.5*0.5/75</f>
        <v>0.15</v>
      </c>
      <c r="T7" s="55">
        <f t="shared" ref="T7:T12" si="0">S7/0.36*100</f>
        <v>41.666666666666671</v>
      </c>
    </row>
    <row r="8" spans="1:22">
      <c r="A8" s="2">
        <v>1728</v>
      </c>
      <c r="F8" t="s">
        <v>20</v>
      </c>
      <c r="I8" s="102">
        <f>B19</f>
        <v>0.02</v>
      </c>
      <c r="K8" s="56">
        <f>(C20+C21)/2</f>
        <v>0.19500000000000001</v>
      </c>
      <c r="L8">
        <v>63.043163552645723</v>
      </c>
      <c r="M8" s="56">
        <v>13.2</v>
      </c>
      <c r="N8">
        <v>44.897959183673471</v>
      </c>
      <c r="O8">
        <v>47.2</v>
      </c>
      <c r="P8">
        <v>75.159235668789819</v>
      </c>
      <c r="Q8" s="56">
        <v>0.13</v>
      </c>
      <c r="S8" s="55">
        <f>22.5*0.46/75</f>
        <v>0.13799999999999998</v>
      </c>
      <c r="T8" s="55">
        <f t="shared" si="0"/>
        <v>38.333333333333329</v>
      </c>
    </row>
    <row r="9" spans="1:22">
      <c r="A9" s="2">
        <v>1729</v>
      </c>
      <c r="B9">
        <v>1.6E-2</v>
      </c>
      <c r="F9" t="s">
        <v>21</v>
      </c>
      <c r="G9">
        <v>7.3910370063292259</v>
      </c>
      <c r="H9" s="15">
        <f>100*G9/G$12</f>
        <v>37.34470397101056</v>
      </c>
      <c r="I9" s="102">
        <f>(B22+B24+B27+B28)/4</f>
        <v>6.3333333333333325E-2</v>
      </c>
      <c r="J9">
        <v>44.313146233382568</v>
      </c>
      <c r="K9" s="56">
        <f>(C25+C26+C27+C28)/4</f>
        <v>0.27250000000000002</v>
      </c>
      <c r="L9">
        <v>58.139806387439947</v>
      </c>
      <c r="M9" s="56">
        <v>13.7</v>
      </c>
      <c r="N9">
        <v>46.598639455782312</v>
      </c>
      <c r="O9">
        <v>47.3</v>
      </c>
      <c r="P9">
        <v>75.318471337579624</v>
      </c>
      <c r="Q9" s="56">
        <v>0.16</v>
      </c>
      <c r="S9" s="55">
        <v>0.16</v>
      </c>
      <c r="T9" s="55">
        <f t="shared" si="0"/>
        <v>44.44444444444445</v>
      </c>
    </row>
    <row r="10" spans="1:22">
      <c r="A10" s="2">
        <v>1730</v>
      </c>
      <c r="B10">
        <v>0.08</v>
      </c>
      <c r="F10" t="s">
        <v>22</v>
      </c>
      <c r="G10">
        <v>9.254841676056337</v>
      </c>
      <c r="H10" s="15">
        <f>100*G10/G$12</f>
        <v>46.761952672531358</v>
      </c>
      <c r="I10" s="102">
        <f>(B29+B31+B32+B33+B34)/5</f>
        <v>0.14902708333333331</v>
      </c>
      <c r="J10">
        <v>71.25352490935947</v>
      </c>
      <c r="K10" s="56">
        <f>(C30+C32+C33+C34)/4</f>
        <v>0.32244791666666661</v>
      </c>
      <c r="L10">
        <v>63.66378847384177</v>
      </c>
      <c r="M10" s="56">
        <v>15.2</v>
      </c>
      <c r="N10">
        <v>51.700680272108848</v>
      </c>
      <c r="O10">
        <v>47.4</v>
      </c>
      <c r="P10">
        <v>75.477707006369428</v>
      </c>
      <c r="Q10" s="56" t="e">
        <f>(#REF!+#REF!+#REF!)/3</f>
        <v>#REF!</v>
      </c>
      <c r="S10" s="55">
        <v>0.22</v>
      </c>
      <c r="T10" s="55">
        <f t="shared" si="0"/>
        <v>61.111111111111114</v>
      </c>
    </row>
    <row r="11" spans="1:22">
      <c r="A11" s="2">
        <v>1731</v>
      </c>
      <c r="B11">
        <v>1.2E-2</v>
      </c>
      <c r="F11" t="s">
        <v>23</v>
      </c>
      <c r="G11">
        <v>13.725564096153844</v>
      </c>
      <c r="H11" s="15">
        <f>100*G11/G$12</f>
        <v>69.351178673176321</v>
      </c>
      <c r="I11" s="102">
        <f>(B35+B37+B38+B39+B40+B41+B42)/7</f>
        <v>0.14434013605442178</v>
      </c>
      <c r="J11">
        <v>81.515370180568524</v>
      </c>
      <c r="K11" s="56">
        <f>(C35+C36+C42)/3</f>
        <v>0.33774888888888888</v>
      </c>
      <c r="L11">
        <v>78.090953773016622</v>
      </c>
      <c r="M11" s="56">
        <v>22.1</v>
      </c>
      <c r="N11">
        <v>75.170068027210888</v>
      </c>
      <c r="O11">
        <v>54.1</v>
      </c>
      <c r="P11">
        <v>86.146496815286625</v>
      </c>
      <c r="Q11" s="56" t="e">
        <f>#REF!</f>
        <v>#REF!</v>
      </c>
      <c r="S11" s="55">
        <v>0.34</v>
      </c>
      <c r="T11" s="55">
        <f t="shared" si="0"/>
        <v>94.444444444444457</v>
      </c>
    </row>
    <row r="12" spans="1:22">
      <c r="A12" s="2">
        <v>1734</v>
      </c>
      <c r="B12">
        <v>1.6666666666666666E-2</v>
      </c>
      <c r="F12" t="s">
        <v>24</v>
      </c>
      <c r="G12">
        <v>19.791392675295111</v>
      </c>
      <c r="H12">
        <v>100</v>
      </c>
      <c r="I12" s="102">
        <f>(B43+B46+B47+B49+B51)/5</f>
        <v>0.17640833333333333</v>
      </c>
      <c r="J12">
        <v>100</v>
      </c>
      <c r="K12" s="56">
        <f>(C43+C44+C47+C48+C49+C50+C51)/7</f>
        <v>0.30634476190476195</v>
      </c>
      <c r="L12">
        <v>100</v>
      </c>
      <c r="M12" s="56">
        <v>29.4</v>
      </c>
      <c r="N12">
        <v>100</v>
      </c>
      <c r="O12">
        <v>62.8</v>
      </c>
      <c r="P12">
        <v>100</v>
      </c>
      <c r="Q12" s="56" t="e">
        <f>(#REF!+#REF!+#REF!)/3</f>
        <v>#REF!</v>
      </c>
      <c r="S12" s="55">
        <v>0.36</v>
      </c>
      <c r="T12" s="55">
        <f t="shared" si="0"/>
        <v>100</v>
      </c>
    </row>
    <row r="13" spans="1:22">
      <c r="A13" s="2">
        <v>1736</v>
      </c>
      <c r="B13">
        <v>5.0000000000000001E-3</v>
      </c>
      <c r="F13" t="s">
        <v>583</v>
      </c>
      <c r="I13" s="68">
        <f>(B53+B58+B59)/3</f>
        <v>0.34999999999999992</v>
      </c>
      <c r="K13">
        <f>(C53+C59+C62)/3</f>
        <v>0.83587333333333336</v>
      </c>
      <c r="M13" s="56">
        <v>40.1</v>
      </c>
      <c r="S13" s="49"/>
      <c r="T13" s="49"/>
    </row>
    <row r="14" spans="1:22">
      <c r="A14" s="2">
        <v>1737</v>
      </c>
      <c r="B14">
        <v>1.381818181818182E-2</v>
      </c>
      <c r="F14" t="s">
        <v>584</v>
      </c>
      <c r="I14" s="68">
        <f>B68</f>
        <v>1.86</v>
      </c>
      <c r="K14">
        <f>(C63+C68)/2</f>
        <v>1.9375</v>
      </c>
      <c r="M14" s="56">
        <v>43.3</v>
      </c>
      <c r="N14">
        <v>100</v>
      </c>
    </row>
    <row r="15" spans="1:22" ht="71.25">
      <c r="A15" s="2">
        <v>1738</v>
      </c>
      <c r="B15">
        <v>3.833333333333333E-2</v>
      </c>
      <c r="F15" s="3"/>
      <c r="G15" s="3" t="s">
        <v>322</v>
      </c>
      <c r="H15" s="3" t="s">
        <v>323</v>
      </c>
      <c r="I15" s="3"/>
      <c r="J15" s="3" t="s">
        <v>320</v>
      </c>
    </row>
    <row r="16" spans="1:22">
      <c r="A16" s="2">
        <v>1740</v>
      </c>
      <c r="B16">
        <v>1.2999999999999999E-2</v>
      </c>
      <c r="F16" s="3" t="s">
        <v>582</v>
      </c>
      <c r="G16" s="201">
        <f t="shared" ref="G16:G25" si="1">100*I4/I$14</f>
        <v>0</v>
      </c>
      <c r="H16" s="101">
        <f>100*K4/K$14</f>
        <v>1.1870967741935483</v>
      </c>
      <c r="I16" s="3"/>
      <c r="J16" s="101">
        <f t="shared" ref="J16:J25" si="2">100*M4/M$14</f>
        <v>25.404157043879909</v>
      </c>
    </row>
    <row r="17" spans="1:13">
      <c r="A17" s="2">
        <v>1741</v>
      </c>
      <c r="C17">
        <v>0.12</v>
      </c>
      <c r="F17" s="3" t="s">
        <v>312</v>
      </c>
      <c r="G17" s="101">
        <f t="shared" si="1"/>
        <v>1.5412186379928317</v>
      </c>
      <c r="H17" s="101">
        <f>100*K5/K$14</f>
        <v>5.161290322580645</v>
      </c>
      <c r="I17" s="57"/>
      <c r="J17" s="101">
        <f t="shared" si="2"/>
        <v>33.94919168591224</v>
      </c>
    </row>
    <row r="18" spans="1:13">
      <c r="A18" s="2">
        <v>1749</v>
      </c>
      <c r="C18">
        <v>0.36</v>
      </c>
      <c r="F18" s="3" t="s">
        <v>313</v>
      </c>
      <c r="G18" s="101">
        <f t="shared" si="1"/>
        <v>1.4858260019550342</v>
      </c>
      <c r="H18" s="101"/>
      <c r="I18" s="57"/>
      <c r="J18" s="101">
        <f t="shared" si="2"/>
        <v>36.720554272517326</v>
      </c>
    </row>
    <row r="19" spans="1:13">
      <c r="A19" s="2">
        <v>1756</v>
      </c>
      <c r="B19">
        <v>0.02</v>
      </c>
      <c r="F19" s="3" t="s">
        <v>314</v>
      </c>
      <c r="G19" s="101">
        <f t="shared" si="1"/>
        <v>0.69892473118279563</v>
      </c>
      <c r="H19" s="101">
        <f t="shared" ref="H19:H25" si="3">100*K7/K$14</f>
        <v>12.387096774193548</v>
      </c>
      <c r="I19" s="57"/>
      <c r="J19" s="101">
        <f t="shared" si="2"/>
        <v>26.096997690531179</v>
      </c>
    </row>
    <row r="20" spans="1:13">
      <c r="A20" s="2">
        <v>1757</v>
      </c>
      <c r="C20">
        <v>0.15</v>
      </c>
      <c r="F20" s="3" t="s">
        <v>315</v>
      </c>
      <c r="G20" s="101">
        <f t="shared" si="1"/>
        <v>1.075268817204301</v>
      </c>
      <c r="H20" s="101">
        <f t="shared" si="3"/>
        <v>10.064516129032258</v>
      </c>
      <c r="I20" s="57"/>
      <c r="J20" s="101">
        <f t="shared" si="2"/>
        <v>30.484988452655891</v>
      </c>
    </row>
    <row r="21" spans="1:13">
      <c r="A21" s="2">
        <v>1759</v>
      </c>
      <c r="C21">
        <v>0.24</v>
      </c>
      <c r="F21" s="3" t="s">
        <v>316</v>
      </c>
      <c r="G21" s="101">
        <f t="shared" si="1"/>
        <v>3.4050179211469525</v>
      </c>
      <c r="H21" s="101">
        <f t="shared" si="3"/>
        <v>14.06451612903226</v>
      </c>
      <c r="I21" s="57"/>
      <c r="J21" s="101">
        <f t="shared" si="2"/>
        <v>31.639722863741341</v>
      </c>
    </row>
    <row r="22" spans="1:13">
      <c r="A22" s="2">
        <v>1762</v>
      </c>
      <c r="B22">
        <v>0.04</v>
      </c>
      <c r="F22" s="3" t="s">
        <v>317</v>
      </c>
      <c r="G22" s="101">
        <f t="shared" si="1"/>
        <v>8.0122087813620055</v>
      </c>
      <c r="H22" s="101">
        <f t="shared" si="3"/>
        <v>16.642473118279568</v>
      </c>
      <c r="I22" s="57"/>
      <c r="J22" s="101">
        <f t="shared" si="2"/>
        <v>35.103926096997689</v>
      </c>
    </row>
    <row r="23" spans="1:13">
      <c r="A23" s="2">
        <v>1763</v>
      </c>
      <c r="F23" s="3" t="s">
        <v>318</v>
      </c>
      <c r="G23" s="101">
        <f t="shared" si="1"/>
        <v>7.7602223685173</v>
      </c>
      <c r="H23" s="101">
        <f t="shared" si="3"/>
        <v>17.432200716845877</v>
      </c>
      <c r="I23" s="57"/>
      <c r="J23" s="101">
        <f t="shared" si="2"/>
        <v>51.039260969976908</v>
      </c>
    </row>
    <row r="24" spans="1:13">
      <c r="A24" s="2">
        <v>1764</v>
      </c>
      <c r="B24">
        <v>0.11333333333333333</v>
      </c>
      <c r="F24" s="3" t="s">
        <v>319</v>
      </c>
      <c r="G24" s="101">
        <f t="shared" si="1"/>
        <v>9.4843189964157695</v>
      </c>
      <c r="H24" s="101">
        <f t="shared" si="3"/>
        <v>15.811342549923198</v>
      </c>
      <c r="I24" s="57"/>
      <c r="J24" s="101">
        <f t="shared" si="2"/>
        <v>67.89838337182448</v>
      </c>
    </row>
    <row r="25" spans="1:13">
      <c r="A25" s="2">
        <v>1765</v>
      </c>
      <c r="C25">
        <v>0.61</v>
      </c>
      <c r="F25" s="100" t="s">
        <v>583</v>
      </c>
      <c r="G25" s="101">
        <f t="shared" si="1"/>
        <v>18.817204301075265</v>
      </c>
      <c r="H25" s="101">
        <f t="shared" si="3"/>
        <v>43.141849462365592</v>
      </c>
      <c r="J25" s="101">
        <f t="shared" si="2"/>
        <v>92.609699769053123</v>
      </c>
    </row>
    <row r="26" spans="1:13">
      <c r="A26" s="2">
        <v>1766</v>
      </c>
      <c r="C26">
        <v>0.25</v>
      </c>
      <c r="F26" s="100" t="s">
        <v>584</v>
      </c>
      <c r="G26">
        <v>100</v>
      </c>
      <c r="H26">
        <v>100</v>
      </c>
      <c r="J26">
        <v>100</v>
      </c>
      <c r="M26" s="14"/>
    </row>
    <row r="27" spans="1:13">
      <c r="A27" s="2">
        <v>1767</v>
      </c>
      <c r="B27">
        <v>0.05</v>
      </c>
      <c r="C27">
        <v>0.16</v>
      </c>
    </row>
    <row r="28" spans="1:13">
      <c r="A28" s="2">
        <v>1769</v>
      </c>
      <c r="B28">
        <v>0.05</v>
      </c>
      <c r="C28">
        <v>7.0000000000000007E-2</v>
      </c>
    </row>
    <row r="29" spans="1:13">
      <c r="A29" s="2">
        <v>1772</v>
      </c>
      <c r="B29">
        <v>0.08</v>
      </c>
    </row>
    <row r="30" spans="1:13">
      <c r="A30" s="2">
        <v>1773</v>
      </c>
      <c r="C30">
        <v>0.26650000000000001</v>
      </c>
    </row>
    <row r="31" spans="1:13">
      <c r="A31" s="2">
        <v>1776</v>
      </c>
      <c r="B31">
        <v>0.2</v>
      </c>
    </row>
    <row r="32" spans="1:13">
      <c r="A32" s="2">
        <v>1777</v>
      </c>
      <c r="B32">
        <v>0.17666666666666667</v>
      </c>
      <c r="C32">
        <v>0.24152499999999999</v>
      </c>
    </row>
    <row r="33" spans="1:3">
      <c r="A33" s="2">
        <v>1778</v>
      </c>
      <c r="B33">
        <v>0.15846874999999996</v>
      </c>
      <c r="C33">
        <v>0.45305000000000001</v>
      </c>
    </row>
    <row r="34" spans="1:3">
      <c r="A34" s="2">
        <v>1779</v>
      </c>
      <c r="B34">
        <v>0.12999999999999998</v>
      </c>
      <c r="C34">
        <v>0.32871666666666666</v>
      </c>
    </row>
    <row r="35" spans="1:3">
      <c r="A35" s="2">
        <v>1780</v>
      </c>
      <c r="B35">
        <v>0.14466666666666667</v>
      </c>
      <c r="C35">
        <v>0.31552666666666668</v>
      </c>
    </row>
    <row r="36" spans="1:3">
      <c r="A36" s="2">
        <v>1781</v>
      </c>
      <c r="C36">
        <v>0.44772000000000001</v>
      </c>
    </row>
    <row r="37" spans="1:3">
      <c r="A37" s="2">
        <v>1784</v>
      </c>
      <c r="B37">
        <v>0.14083333333333334</v>
      </c>
    </row>
    <row r="38" spans="1:3">
      <c r="A38" s="2">
        <v>1785</v>
      </c>
      <c r="B38">
        <v>0.13571428571428573</v>
      </c>
    </row>
    <row r="39" spans="1:3">
      <c r="A39" s="2">
        <v>1786</v>
      </c>
      <c r="B39">
        <v>0.1</v>
      </c>
    </row>
    <row r="40" spans="1:3">
      <c r="A40" s="2">
        <v>1787</v>
      </c>
      <c r="B40">
        <v>0.18333333333333335</v>
      </c>
    </row>
    <row r="41" spans="1:3">
      <c r="A41" s="2">
        <v>1788</v>
      </c>
      <c r="B41">
        <v>0.14083333333333334</v>
      </c>
    </row>
    <row r="42" spans="1:3">
      <c r="A42" s="2">
        <v>1789</v>
      </c>
      <c r="B42">
        <v>0.16499999999999998</v>
      </c>
      <c r="C42">
        <v>0.25</v>
      </c>
    </row>
    <row r="43" spans="1:3">
      <c r="A43" s="2">
        <v>1790</v>
      </c>
      <c r="B43">
        <v>0.170375</v>
      </c>
      <c r="C43">
        <v>0.48333333333333339</v>
      </c>
    </row>
    <row r="44" spans="1:3">
      <c r="A44" s="2">
        <v>1791</v>
      </c>
      <c r="C44">
        <v>0.40508000000000005</v>
      </c>
    </row>
    <row r="45" spans="1:3">
      <c r="A45" s="2">
        <v>1792</v>
      </c>
    </row>
    <row r="46" spans="1:3">
      <c r="A46" s="2">
        <v>1793</v>
      </c>
      <c r="B46">
        <v>0.11166666666666665</v>
      </c>
    </row>
    <row r="47" spans="1:3">
      <c r="A47" s="2">
        <v>1794</v>
      </c>
      <c r="B47">
        <v>0.25</v>
      </c>
      <c r="C47">
        <v>0.158</v>
      </c>
    </row>
    <row r="48" spans="1:3">
      <c r="A48" s="2">
        <v>1795</v>
      </c>
      <c r="C48">
        <v>0.17199999999999999</v>
      </c>
    </row>
    <row r="49" spans="1:3">
      <c r="A49" s="2">
        <v>1796</v>
      </c>
      <c r="B49">
        <v>0.25</v>
      </c>
      <c r="C49">
        <v>0.55000000000000004</v>
      </c>
    </row>
    <row r="50" spans="1:3">
      <c r="A50" s="2">
        <v>1797</v>
      </c>
      <c r="C50">
        <v>0.23</v>
      </c>
    </row>
    <row r="51" spans="1:3">
      <c r="A51" s="2">
        <v>1798</v>
      </c>
      <c r="B51">
        <v>0.1</v>
      </c>
      <c r="C51">
        <v>0.14599999999999999</v>
      </c>
    </row>
    <row r="52" spans="1:3">
      <c r="A52" s="2">
        <v>1799</v>
      </c>
    </row>
    <row r="53" spans="1:3">
      <c r="A53" s="2">
        <v>1800</v>
      </c>
      <c r="B53">
        <v>0.35</v>
      </c>
      <c r="C53">
        <v>0.60761999999999994</v>
      </c>
    </row>
    <row r="54" spans="1:3">
      <c r="A54" s="2">
        <v>1801</v>
      </c>
    </row>
    <row r="55" spans="1:3">
      <c r="A55" s="2">
        <v>1802</v>
      </c>
    </row>
    <row r="56" spans="1:3">
      <c r="A56" s="2">
        <v>1803</v>
      </c>
    </row>
    <row r="57" spans="1:3">
      <c r="A57" s="2">
        <v>1804</v>
      </c>
    </row>
    <row r="58" spans="1:3">
      <c r="A58" s="2">
        <v>1805</v>
      </c>
      <c r="B58">
        <v>0.3</v>
      </c>
    </row>
    <row r="59" spans="1:3">
      <c r="A59" s="2">
        <v>1806</v>
      </c>
      <c r="B59">
        <v>0.4</v>
      </c>
      <c r="C59">
        <v>0.55000000000000004</v>
      </c>
    </row>
    <row r="60" spans="1:3">
      <c r="A60" s="2">
        <v>1807</v>
      </c>
    </row>
    <row r="61" spans="1:3">
      <c r="A61" s="2">
        <v>1808</v>
      </c>
    </row>
    <row r="62" spans="1:3">
      <c r="A62" s="2">
        <v>1809</v>
      </c>
      <c r="C62">
        <v>1.35</v>
      </c>
    </row>
    <row r="63" spans="1:3">
      <c r="A63" s="2">
        <v>1810</v>
      </c>
      <c r="C63">
        <v>1.375</v>
      </c>
    </row>
    <row r="64" spans="1:3">
      <c r="A64" s="2">
        <v>1811</v>
      </c>
    </row>
    <row r="65" spans="1:3">
      <c r="A65" s="2">
        <v>1812</v>
      </c>
    </row>
    <row r="66" spans="1:3">
      <c r="A66" s="2">
        <v>1813</v>
      </c>
    </row>
    <row r="67" spans="1:3">
      <c r="A67">
        <v>1814</v>
      </c>
    </row>
    <row r="68" spans="1:3">
      <c r="A68">
        <v>1815</v>
      </c>
      <c r="B68">
        <v>1.86</v>
      </c>
      <c r="C68">
        <v>2.5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E4E3-D1F5-4FBF-88BE-84FBAB37A175}">
  <dimension ref="C3:J142"/>
  <sheetViews>
    <sheetView workbookViewId="0">
      <selection activeCell="G1" sqref="G1:H1048576"/>
    </sheetView>
  </sheetViews>
  <sheetFormatPr defaultRowHeight="14.25"/>
  <cols>
    <col min="4" max="6" width="0" style="68" hidden="1" customWidth="1"/>
    <col min="7" max="7" width="9.73046875" style="208" bestFit="1" customWidth="1"/>
    <col min="8" max="8" width="9.06640625" style="208"/>
  </cols>
  <sheetData>
    <row r="3" spans="3:10" s="90" customFormat="1" ht="71.25">
      <c r="C3" s="90" t="s">
        <v>5</v>
      </c>
      <c r="D3" s="129" t="s">
        <v>590</v>
      </c>
      <c r="E3" s="129" t="s">
        <v>612</v>
      </c>
      <c r="F3" s="129" t="s">
        <v>613</v>
      </c>
      <c r="G3" s="222" t="s">
        <v>614</v>
      </c>
      <c r="H3" s="222" t="s">
        <v>615</v>
      </c>
      <c r="I3" s="90" t="s">
        <v>616</v>
      </c>
      <c r="J3" s="90" t="s">
        <v>617</v>
      </c>
    </row>
    <row r="4" spans="3:10">
      <c r="C4">
        <v>1701</v>
      </c>
      <c r="F4" s="68">
        <v>0.06</v>
      </c>
    </row>
    <row r="5" spans="3:10">
      <c r="C5">
        <v>1704</v>
      </c>
      <c r="E5" s="68">
        <v>0.02</v>
      </c>
    </row>
    <row r="6" spans="3:10">
      <c r="C6">
        <v>1708</v>
      </c>
    </row>
    <row r="7" spans="3:10">
      <c r="C7">
        <v>1718</v>
      </c>
      <c r="D7" s="68">
        <v>4.7741878905000004</v>
      </c>
      <c r="E7" s="68">
        <v>2.3E-2</v>
      </c>
      <c r="G7" s="208">
        <f>(E7*250)/(D7*3)</f>
        <v>0.4014644397386577</v>
      </c>
    </row>
    <row r="8" spans="3:10">
      <c r="C8">
        <v>1722</v>
      </c>
      <c r="F8" s="68">
        <v>2.5000000000000001E-2</v>
      </c>
    </row>
    <row r="9" spans="3:10">
      <c r="C9">
        <v>1724</v>
      </c>
      <c r="F9" s="68">
        <v>4.4999999999999998E-2</v>
      </c>
    </row>
    <row r="10" spans="3:10">
      <c r="C10">
        <v>1726</v>
      </c>
      <c r="E10" s="68">
        <v>0.1</v>
      </c>
    </row>
    <row r="11" spans="3:10">
      <c r="C11">
        <v>1726</v>
      </c>
    </row>
    <row r="12" spans="3:10">
      <c r="C12">
        <v>1727</v>
      </c>
    </row>
    <row r="13" spans="3:10">
      <c r="C13">
        <v>1728</v>
      </c>
      <c r="D13" s="68">
        <v>4.1209874475000001</v>
      </c>
      <c r="H13" s="223">
        <f>(F14*250)/(D13*3)</f>
        <v>0.32354705039011966</v>
      </c>
    </row>
    <row r="14" spans="3:10">
      <c r="C14">
        <v>1729</v>
      </c>
      <c r="F14" s="68">
        <v>1.6E-2</v>
      </c>
    </row>
    <row r="15" spans="3:10">
      <c r="C15">
        <v>1730</v>
      </c>
      <c r="F15" s="68">
        <v>0.08</v>
      </c>
    </row>
    <row r="16" spans="3:10">
      <c r="C16">
        <v>1731</v>
      </c>
      <c r="F16" s="68">
        <v>1.1999999999999999E-2</v>
      </c>
    </row>
    <row r="17" spans="3:8">
      <c r="C17">
        <v>1732</v>
      </c>
    </row>
    <row r="18" spans="3:8">
      <c r="C18">
        <v>1733</v>
      </c>
    </row>
    <row r="19" spans="3:8">
      <c r="C19">
        <v>1734</v>
      </c>
      <c r="F19" s="68">
        <v>1.6666666666666666E-2</v>
      </c>
    </row>
    <row r="20" spans="3:8">
      <c r="C20">
        <v>1736</v>
      </c>
      <c r="F20" s="68">
        <v>5.0000000000000001E-3</v>
      </c>
    </row>
    <row r="21" spans="3:8">
      <c r="C21">
        <v>1737</v>
      </c>
      <c r="E21" s="68">
        <v>1.4545454545454545E-2</v>
      </c>
      <c r="F21" s="68">
        <v>1.381818181818182E-2</v>
      </c>
    </row>
    <row r="22" spans="3:8">
      <c r="C22">
        <v>1738</v>
      </c>
      <c r="D22" s="68">
        <v>4.0068489300000003</v>
      </c>
      <c r="F22" s="68">
        <v>3.833333333333333E-2</v>
      </c>
      <c r="H22" s="208">
        <f>(F22*250)/(D22*3)</f>
        <v>0.79724604053001913</v>
      </c>
    </row>
    <row r="23" spans="3:8">
      <c r="C23">
        <v>1739</v>
      </c>
      <c r="F23" s="68">
        <v>1.6666666666666666E-2</v>
      </c>
    </row>
    <row r="24" spans="3:8">
      <c r="C24">
        <v>1740</v>
      </c>
      <c r="F24" s="68">
        <v>1.3000000000000001E-2</v>
      </c>
    </row>
    <row r="25" spans="3:8">
      <c r="C25">
        <v>1741</v>
      </c>
      <c r="E25" s="68">
        <v>0.12</v>
      </c>
    </row>
    <row r="26" spans="3:8">
      <c r="C26">
        <v>1749</v>
      </c>
      <c r="E26" s="68">
        <v>0.36085326086956526</v>
      </c>
    </row>
    <row r="27" spans="3:8">
      <c r="C27">
        <v>1756</v>
      </c>
      <c r="F27" s="68">
        <v>0.02</v>
      </c>
    </row>
    <row r="28" spans="3:8">
      <c r="C28">
        <v>1757</v>
      </c>
      <c r="E28" s="68">
        <v>0.15</v>
      </c>
    </row>
    <row r="29" spans="3:8">
      <c r="C29">
        <v>1758</v>
      </c>
    </row>
    <row r="30" spans="3:8">
      <c r="C30">
        <v>1759</v>
      </c>
      <c r="E30" s="68">
        <v>0.24</v>
      </c>
    </row>
    <row r="31" spans="3:8">
      <c r="C31">
        <v>1760</v>
      </c>
    </row>
    <row r="32" spans="3:8">
      <c r="C32">
        <v>1761</v>
      </c>
    </row>
    <row r="33" spans="3:8">
      <c r="C33">
        <v>1762</v>
      </c>
      <c r="D33" s="68">
        <v>4.2015216949999994</v>
      </c>
      <c r="F33" s="68">
        <v>0.04</v>
      </c>
      <c r="H33" s="208">
        <f>(F33*250)/(D33*3)</f>
        <v>0.79336335149718518</v>
      </c>
    </row>
    <row r="34" spans="3:8">
      <c r="C34">
        <v>1763</v>
      </c>
      <c r="D34" s="68">
        <v>4.3245307087499993</v>
      </c>
    </row>
    <row r="35" spans="3:8">
      <c r="C35">
        <v>1764</v>
      </c>
      <c r="D35" s="68">
        <v>4.249504763</v>
      </c>
      <c r="E35" s="68">
        <v>0.5714285714285714</v>
      </c>
      <c r="F35" s="68">
        <v>0.11333333333333333</v>
      </c>
    </row>
    <row r="36" spans="3:8">
      <c r="C36">
        <v>1765</v>
      </c>
    </row>
    <row r="37" spans="3:8">
      <c r="C37">
        <v>1766</v>
      </c>
      <c r="E37" s="68">
        <v>0.25</v>
      </c>
    </row>
    <row r="38" spans="3:8">
      <c r="C38">
        <v>1767</v>
      </c>
      <c r="D38" s="68">
        <v>8.1787793240999989</v>
      </c>
      <c r="E38" s="68">
        <v>0.16</v>
      </c>
      <c r="F38" s="68">
        <v>0.05</v>
      </c>
      <c r="G38" s="208">
        <f>(E38*250)/(D38*3)</f>
        <v>1.6302351249464169</v>
      </c>
      <c r="H38" s="208">
        <f>(F38*250)/(D38*3)</f>
        <v>0.50944847654575531</v>
      </c>
    </row>
    <row r="39" spans="3:8">
      <c r="C39">
        <v>1768</v>
      </c>
    </row>
    <row r="40" spans="3:8">
      <c r="C40">
        <v>1769</v>
      </c>
      <c r="E40" s="68">
        <v>7.0000000000000007E-2</v>
      </c>
      <c r="F40" s="68">
        <v>0.05</v>
      </c>
    </row>
    <row r="41" spans="3:8">
      <c r="C41">
        <v>1770</v>
      </c>
    </row>
    <row r="42" spans="3:8">
      <c r="C42">
        <v>1771</v>
      </c>
    </row>
    <row r="43" spans="3:8">
      <c r="C43">
        <v>1772</v>
      </c>
      <c r="F43" s="68">
        <v>0.08</v>
      </c>
    </row>
    <row r="44" spans="3:8">
      <c r="C44">
        <v>1773</v>
      </c>
      <c r="E44" s="68">
        <v>0.26650000000000001</v>
      </c>
    </row>
    <row r="45" spans="3:8">
      <c r="C45">
        <v>1774</v>
      </c>
    </row>
    <row r="46" spans="3:8">
      <c r="C46">
        <v>1775</v>
      </c>
    </row>
    <row r="47" spans="3:8">
      <c r="C47">
        <v>1776</v>
      </c>
      <c r="F47" s="68">
        <v>0.2</v>
      </c>
    </row>
    <row r="48" spans="3:8">
      <c r="C48">
        <v>1777</v>
      </c>
      <c r="D48" s="68">
        <v>6.1177137105000003</v>
      </c>
      <c r="E48" s="68">
        <v>0.24152499999999999</v>
      </c>
      <c r="F48" s="68">
        <v>0.17666666666666667</v>
      </c>
      <c r="G48" s="208">
        <f>(E48*250)/(D48*3)</f>
        <v>3.2899681622545791</v>
      </c>
      <c r="H48" s="208">
        <f>(F48*250)/(D48*3)</f>
        <v>2.406490875333716</v>
      </c>
    </row>
    <row r="49" spans="3:8">
      <c r="C49">
        <v>1778</v>
      </c>
      <c r="E49" s="68">
        <v>0.45305000000000001</v>
      </c>
      <c r="F49" s="68">
        <v>0.15846874999999996</v>
      </c>
    </row>
    <row r="50" spans="3:8">
      <c r="C50">
        <v>1779</v>
      </c>
      <c r="E50" s="68">
        <v>0.32871666666666666</v>
      </c>
      <c r="F50" s="68">
        <v>0.12999999999999998</v>
      </c>
    </row>
    <row r="51" spans="3:8">
      <c r="C51">
        <v>1780</v>
      </c>
      <c r="E51" s="68">
        <v>0.31552666666666668</v>
      </c>
      <c r="F51" s="68">
        <v>0.14466666666666667</v>
      </c>
    </row>
    <row r="52" spans="3:8">
      <c r="C52">
        <v>1781</v>
      </c>
      <c r="E52" s="68">
        <v>0.44772000000000001</v>
      </c>
    </row>
    <row r="53" spans="3:8">
      <c r="C53">
        <v>1782</v>
      </c>
    </row>
    <row r="54" spans="3:8">
      <c r="C54">
        <v>1783</v>
      </c>
    </row>
    <row r="55" spans="3:8">
      <c r="C55">
        <v>1784</v>
      </c>
      <c r="F55" s="68">
        <v>0.14083333333333334</v>
      </c>
    </row>
    <row r="56" spans="3:8">
      <c r="C56">
        <v>1785</v>
      </c>
      <c r="F56" s="68">
        <v>0.13571428571428573</v>
      </c>
    </row>
    <row r="57" spans="3:8">
      <c r="C57">
        <v>1786</v>
      </c>
      <c r="D57" s="68">
        <v>10.601767856362308</v>
      </c>
      <c r="F57" s="68">
        <v>0.1</v>
      </c>
      <c r="H57" s="208">
        <f t="shared" ref="H57:H60" si="0">(F57*250)/(D57*3)</f>
        <v>0.7860324283871537</v>
      </c>
    </row>
    <row r="58" spans="3:8">
      <c r="C58">
        <v>1787</v>
      </c>
      <c r="D58" s="68">
        <v>18.276205560574976</v>
      </c>
      <c r="F58" s="68">
        <v>0.18333333333333335</v>
      </c>
      <c r="H58" s="208">
        <f t="shared" si="0"/>
        <v>0.83593816709605528</v>
      </c>
    </row>
    <row r="59" spans="3:8">
      <c r="C59">
        <v>1788</v>
      </c>
      <c r="D59" s="68">
        <v>12.572337336931639</v>
      </c>
      <c r="F59" s="68">
        <v>0.14083333333333334</v>
      </c>
      <c r="H59" s="208">
        <f t="shared" si="0"/>
        <v>0.93348681288052249</v>
      </c>
    </row>
    <row r="60" spans="3:8">
      <c r="C60">
        <v>1789</v>
      </c>
      <c r="D60" s="68">
        <v>11.000405849931642</v>
      </c>
      <c r="E60" s="68">
        <v>0.25</v>
      </c>
      <c r="F60" s="68">
        <v>0.16499999999999998</v>
      </c>
      <c r="G60" s="208">
        <f>(E60*250)/(D60*3)</f>
        <v>1.8938695187744179</v>
      </c>
      <c r="H60" s="208">
        <f t="shared" si="0"/>
        <v>1.2499538823911156</v>
      </c>
    </row>
    <row r="61" spans="3:8">
      <c r="C61">
        <v>1790</v>
      </c>
      <c r="E61" s="68">
        <v>0.48333333333333339</v>
      </c>
      <c r="F61" s="68">
        <v>0.170375</v>
      </c>
    </row>
    <row r="62" spans="3:8">
      <c r="C62">
        <v>1791</v>
      </c>
      <c r="E62" s="68">
        <v>0.40508000000000005</v>
      </c>
    </row>
    <row r="63" spans="3:8">
      <c r="C63">
        <v>1792</v>
      </c>
      <c r="D63" s="68">
        <v>9.8821683624316421</v>
      </c>
    </row>
    <row r="64" spans="3:8">
      <c r="C64">
        <v>1793</v>
      </c>
      <c r="D64" s="68">
        <v>14.400411513833333</v>
      </c>
      <c r="F64" s="68">
        <v>0.11166666666666665</v>
      </c>
    </row>
    <row r="65" spans="3:8">
      <c r="C65">
        <v>1794</v>
      </c>
      <c r="D65" s="68">
        <v>13.15573865190577</v>
      </c>
      <c r="E65" s="68">
        <v>0.154</v>
      </c>
      <c r="F65" s="68">
        <v>0.25</v>
      </c>
      <c r="G65" s="208">
        <f>(E65*250)/(D65*3)</f>
        <v>0.97549318004080821</v>
      </c>
      <c r="H65" s="208">
        <f>(F65*250)/(D65*3)</f>
        <v>1.5835928247415716</v>
      </c>
    </row>
    <row r="66" spans="3:8">
      <c r="C66">
        <v>1795</v>
      </c>
      <c r="D66" s="68">
        <v>15.92018632575</v>
      </c>
      <c r="E66" s="68">
        <v>0.1</v>
      </c>
      <c r="G66" s="208">
        <f>(E66*250)/(D66*3)</f>
        <v>0.52344445993415534</v>
      </c>
      <c r="H66" s="223">
        <f>(((F65+F67)/2)*250)/(D66*3)</f>
        <v>1.3086111498353883</v>
      </c>
    </row>
    <row r="67" spans="3:8">
      <c r="C67">
        <v>1796</v>
      </c>
      <c r="D67" s="68">
        <v>17.666848116218748</v>
      </c>
      <c r="E67" s="68">
        <v>0.55000000000000004</v>
      </c>
      <c r="F67" s="68">
        <v>0.25</v>
      </c>
      <c r="G67" s="208">
        <f>(E67*250)/(D67*3)</f>
        <v>2.5943129771550377</v>
      </c>
      <c r="H67" s="208">
        <f>(F67*250)/(D67*3)</f>
        <v>1.179233171434108</v>
      </c>
    </row>
    <row r="68" spans="3:8">
      <c r="C68">
        <v>1797</v>
      </c>
      <c r="D68" s="68">
        <v>15.212691773343751</v>
      </c>
      <c r="E68" s="68">
        <v>0.23</v>
      </c>
      <c r="G68" s="208">
        <f>(E68*250)/(D68*3)</f>
        <v>1.2599129037933456</v>
      </c>
      <c r="H68" s="223">
        <f>(((F67+F69)/2)*250)/(D68*3)</f>
        <v>0.95862938332102388</v>
      </c>
    </row>
    <row r="69" spans="3:8">
      <c r="C69">
        <v>1798</v>
      </c>
      <c r="D69" s="68">
        <v>13.837095099000003</v>
      </c>
      <c r="E69" s="68">
        <v>0.15</v>
      </c>
      <c r="F69" s="68">
        <v>0.1</v>
      </c>
      <c r="G69" s="208">
        <f>(E69*250)/(D69*3)</f>
        <v>0.90336880035632383</v>
      </c>
      <c r="H69" s="208">
        <f>(F69*250)/(D69*3)</f>
        <v>0.60224586690421589</v>
      </c>
    </row>
    <row r="70" spans="3:8">
      <c r="C70">
        <v>1799</v>
      </c>
      <c r="D70" s="68">
        <v>14.1333016654375</v>
      </c>
      <c r="H70" s="223">
        <f>(((F69+F71)/2)*250)/(D70*3)</f>
        <v>0.96550923884287743</v>
      </c>
    </row>
    <row r="71" spans="3:8">
      <c r="C71">
        <v>1800</v>
      </c>
      <c r="D71" s="68">
        <v>17.359921714799999</v>
      </c>
      <c r="E71" s="68">
        <v>0.60761999999999994</v>
      </c>
      <c r="F71" s="68">
        <v>0.22750000000000004</v>
      </c>
      <c r="G71" s="208">
        <f>(E71*250)/(D71*3)</f>
        <v>2.9167758260586916</v>
      </c>
      <c r="H71" s="208">
        <f>(F71*250)/(D71*3)</f>
        <v>1.0920748172021206</v>
      </c>
    </row>
    <row r="72" spans="3:8">
      <c r="C72">
        <v>1801</v>
      </c>
      <c r="D72" s="68">
        <v>18.106124678181644</v>
      </c>
    </row>
    <row r="73" spans="3:8">
      <c r="C73">
        <v>1802</v>
      </c>
      <c r="D73" s="68">
        <v>15.313636863000001</v>
      </c>
    </row>
    <row r="74" spans="3:8">
      <c r="C74">
        <v>1803</v>
      </c>
    </row>
    <row r="75" spans="3:8">
      <c r="C75">
        <v>1804</v>
      </c>
    </row>
    <row r="76" spans="3:8">
      <c r="C76">
        <v>1805</v>
      </c>
      <c r="D76" s="68">
        <v>15.067322237916665</v>
      </c>
    </row>
    <row r="77" spans="3:8">
      <c r="C77">
        <v>1806</v>
      </c>
      <c r="D77" s="68">
        <v>17.340630103125001</v>
      </c>
      <c r="E77" s="68">
        <v>0.55000000000000004</v>
      </c>
      <c r="F77" s="68">
        <v>0.4</v>
      </c>
      <c r="G77" s="208">
        <f>(E77*250)/(D77*3)</f>
        <v>2.6431181024427475</v>
      </c>
      <c r="H77" s="208">
        <f>(F77*250)/(D77*3)</f>
        <v>1.9222677108674526</v>
      </c>
    </row>
    <row r="78" spans="3:8">
      <c r="C78">
        <v>1807</v>
      </c>
      <c r="D78" s="68">
        <v>18.1805791768125</v>
      </c>
    </row>
    <row r="79" spans="3:8">
      <c r="C79">
        <v>1808</v>
      </c>
    </row>
    <row r="80" spans="3:8">
      <c r="C80">
        <v>1809</v>
      </c>
      <c r="D80" s="68">
        <v>24.760617378000006</v>
      </c>
      <c r="E80" s="68">
        <v>1.35</v>
      </c>
      <c r="G80" s="208">
        <f t="shared" ref="G80:G81" si="1">(E80*250)/(D80*3)</f>
        <v>4.5435054499067977</v>
      </c>
    </row>
    <row r="81" spans="3:8">
      <c r="C81">
        <v>1810</v>
      </c>
      <c r="D81" s="68">
        <v>29.997571159500001</v>
      </c>
      <c r="E81" s="68">
        <v>1.375</v>
      </c>
      <c r="G81" s="208">
        <f t="shared" si="1"/>
        <v>3.8197536968604093</v>
      </c>
    </row>
    <row r="82" spans="3:8">
      <c r="C82">
        <v>1811</v>
      </c>
    </row>
    <row r="83" spans="3:8">
      <c r="C83">
        <v>1812</v>
      </c>
    </row>
    <row r="84" spans="3:8">
      <c r="C84">
        <v>1813</v>
      </c>
    </row>
    <row r="85" spans="3:8">
      <c r="C85">
        <v>1814</v>
      </c>
    </row>
    <row r="86" spans="3:8">
      <c r="C86">
        <v>1815</v>
      </c>
      <c r="D86" s="68">
        <v>39.493489937999996</v>
      </c>
      <c r="E86" s="68">
        <v>2.5</v>
      </c>
      <c r="F86" s="68">
        <v>1.86</v>
      </c>
      <c r="G86" s="208">
        <f>(E86*250)/(D86*3)</f>
        <v>5.2751310066644272</v>
      </c>
      <c r="H86" s="208">
        <f>(F86*250)/(D86*3)</f>
        <v>3.9246974689583336</v>
      </c>
    </row>
    <row r="87" spans="3:8">
      <c r="C87">
        <v>1816</v>
      </c>
    </row>
    <row r="88" spans="3:8">
      <c r="C88">
        <v>1817</v>
      </c>
    </row>
    <row r="89" spans="3:8">
      <c r="C89">
        <v>1818</v>
      </c>
    </row>
    <row r="90" spans="3:8">
      <c r="C90">
        <v>1819</v>
      </c>
    </row>
    <row r="91" spans="3:8">
      <c r="C91">
        <v>1824</v>
      </c>
    </row>
    <row r="92" spans="3:8">
      <c r="C92">
        <v>1825</v>
      </c>
    </row>
    <row r="93" spans="3:8">
      <c r="C93">
        <v>1826</v>
      </c>
      <c r="E93" s="68">
        <v>1.75</v>
      </c>
      <c r="F93" s="68">
        <v>0.75</v>
      </c>
    </row>
    <row r="94" spans="3:8">
      <c r="C94">
        <v>1827</v>
      </c>
      <c r="E94" s="68">
        <v>0.7</v>
      </c>
      <c r="F94" s="68">
        <v>0.6</v>
      </c>
    </row>
    <row r="95" spans="3:8">
      <c r="C95">
        <v>1828</v>
      </c>
      <c r="D95" s="68">
        <v>80.86</v>
      </c>
    </row>
    <row r="96" spans="3:8">
      <c r="C96">
        <v>1829</v>
      </c>
      <c r="D96" s="68">
        <v>81.66</v>
      </c>
    </row>
    <row r="97" spans="3:6">
      <c r="C97">
        <v>1830</v>
      </c>
    </row>
    <row r="98" spans="3:6">
      <c r="C98">
        <v>1831</v>
      </c>
    </row>
    <row r="99" spans="3:6">
      <c r="C99">
        <v>1832</v>
      </c>
      <c r="E99" s="68">
        <v>1.8</v>
      </c>
      <c r="F99" s="68">
        <v>1</v>
      </c>
    </row>
    <row r="100" spans="3:6">
      <c r="C100">
        <v>1833</v>
      </c>
    </row>
    <row r="101" spans="3:6">
      <c r="C101">
        <v>1834</v>
      </c>
      <c r="E101" s="68">
        <v>1.9</v>
      </c>
      <c r="F101" s="68">
        <v>0.97</v>
      </c>
    </row>
    <row r="102" spans="3:6">
      <c r="C102">
        <v>1835</v>
      </c>
    </row>
    <row r="103" spans="3:6">
      <c r="C103">
        <v>1836</v>
      </c>
      <c r="D103" s="68">
        <v>91.107330555189719</v>
      </c>
    </row>
    <row r="104" spans="3:6">
      <c r="C104">
        <v>1837</v>
      </c>
      <c r="E104" s="68">
        <v>1.9</v>
      </c>
      <c r="F104" s="68">
        <v>0.9</v>
      </c>
    </row>
    <row r="105" spans="3:6">
      <c r="C105">
        <v>1838</v>
      </c>
    </row>
    <row r="106" spans="3:6">
      <c r="C106">
        <v>1839</v>
      </c>
      <c r="E106" s="68">
        <v>1.8</v>
      </c>
      <c r="F106" s="68">
        <v>1</v>
      </c>
    </row>
    <row r="107" spans="3:6">
      <c r="C107">
        <v>1840</v>
      </c>
      <c r="E107" s="68">
        <v>0.5</v>
      </c>
      <c r="F107" s="68">
        <v>0.3</v>
      </c>
    </row>
    <row r="108" spans="3:6">
      <c r="C108">
        <v>1841</v>
      </c>
      <c r="E108" s="68">
        <v>0.6</v>
      </c>
      <c r="F108" s="68">
        <v>0.3</v>
      </c>
    </row>
    <row r="109" spans="3:6">
      <c r="C109">
        <v>1842</v>
      </c>
      <c r="E109" s="68">
        <v>0.5</v>
      </c>
      <c r="F109" s="68">
        <v>0.3</v>
      </c>
    </row>
    <row r="110" spans="3:6">
      <c r="C110">
        <v>1843</v>
      </c>
      <c r="E110" s="68">
        <v>0.4</v>
      </c>
      <c r="F110" s="68">
        <v>0.25</v>
      </c>
    </row>
    <row r="111" spans="3:6">
      <c r="C111">
        <v>1844</v>
      </c>
      <c r="E111" s="68">
        <v>0.5</v>
      </c>
      <c r="F111" s="68">
        <v>0.33</v>
      </c>
    </row>
    <row r="112" spans="3:6">
      <c r="C112">
        <v>1845</v>
      </c>
      <c r="E112" s="68">
        <v>0.65</v>
      </c>
      <c r="F112" s="68">
        <v>0.3</v>
      </c>
    </row>
    <row r="113" spans="3:10">
      <c r="C113">
        <v>1846</v>
      </c>
      <c r="E113" s="68">
        <v>0.45</v>
      </c>
      <c r="F113" s="68">
        <v>0.25</v>
      </c>
    </row>
    <row r="114" spans="3:10">
      <c r="C114">
        <v>1847</v>
      </c>
      <c r="E114" s="68">
        <v>0.65</v>
      </c>
      <c r="F114" s="68">
        <v>0.35</v>
      </c>
    </row>
    <row r="115" spans="3:10">
      <c r="C115">
        <v>1848</v>
      </c>
      <c r="E115" s="68">
        <v>0.5</v>
      </c>
      <c r="F115" s="68">
        <v>0.25</v>
      </c>
    </row>
    <row r="116" spans="3:10">
      <c r="C116">
        <v>1849</v>
      </c>
      <c r="E116" s="68">
        <v>0.45</v>
      </c>
      <c r="F116" s="68">
        <v>0.25</v>
      </c>
    </row>
    <row r="117" spans="3:10">
      <c r="C117">
        <v>1850</v>
      </c>
      <c r="E117" s="68">
        <v>0.4</v>
      </c>
      <c r="F117" s="68">
        <v>0.25</v>
      </c>
    </row>
    <row r="118" spans="3:10">
      <c r="C118">
        <v>1851</v>
      </c>
      <c r="E118" s="68">
        <v>0.4</v>
      </c>
      <c r="F118" s="68">
        <v>0.25</v>
      </c>
    </row>
    <row r="119" spans="3:10">
      <c r="C119">
        <v>1852</v>
      </c>
      <c r="E119" s="68">
        <v>0.5</v>
      </c>
      <c r="F119" s="68">
        <v>0.25</v>
      </c>
    </row>
    <row r="120" spans="3:10">
      <c r="C120">
        <v>1853</v>
      </c>
      <c r="E120" s="68">
        <v>0.45</v>
      </c>
      <c r="F120" s="68">
        <v>0.25</v>
      </c>
    </row>
    <row r="121" spans="3:10">
      <c r="C121">
        <v>1854</v>
      </c>
      <c r="D121" s="68">
        <v>18.348706760678269</v>
      </c>
      <c r="E121" s="68">
        <v>0.45</v>
      </c>
      <c r="F121" s="68">
        <v>0.25</v>
      </c>
      <c r="G121" s="208">
        <f t="shared" ref="G121:G122" si="2">(E121*250)/(D121*3)</f>
        <v>2.0437407654453024</v>
      </c>
      <c r="H121" s="208">
        <f>(F121*250)/(D121*3)</f>
        <v>1.1354115363585013</v>
      </c>
      <c r="I121">
        <v>0.4</v>
      </c>
      <c r="J121">
        <v>0.6</v>
      </c>
    </row>
    <row r="122" spans="3:10">
      <c r="C122">
        <v>1855</v>
      </c>
      <c r="D122" s="68">
        <v>18.452094796880097</v>
      </c>
      <c r="E122" s="68">
        <v>0.5</v>
      </c>
      <c r="F122" s="68">
        <v>0.3</v>
      </c>
      <c r="G122" s="208">
        <f t="shared" si="2"/>
        <v>2.2580995342443027</v>
      </c>
      <c r="H122" s="208">
        <f>(F122*250)/(D122*3)</f>
        <v>1.3548597205465815</v>
      </c>
      <c r="I122">
        <v>0.45</v>
      </c>
      <c r="J122">
        <v>0.55000000000000004</v>
      </c>
    </row>
    <row r="123" spans="3:10">
      <c r="C123">
        <v>1856</v>
      </c>
      <c r="E123" s="68">
        <v>0.6</v>
      </c>
      <c r="F123" s="68">
        <v>0.3</v>
      </c>
    </row>
    <row r="124" spans="3:10">
      <c r="C124">
        <v>1857</v>
      </c>
    </row>
    <row r="125" spans="3:10">
      <c r="C125">
        <v>1858</v>
      </c>
      <c r="E125" s="68">
        <v>0.8</v>
      </c>
      <c r="F125" s="68">
        <v>0.4</v>
      </c>
    </row>
    <row r="126" spans="3:10">
      <c r="C126">
        <v>1859</v>
      </c>
      <c r="D126" s="68">
        <v>22.558937049109325</v>
      </c>
      <c r="E126" s="68">
        <v>0.85</v>
      </c>
      <c r="F126" s="68">
        <v>0.5</v>
      </c>
      <c r="G126" s="208">
        <f>(E126*250)/(D126*3)</f>
        <v>3.1399233562793234</v>
      </c>
      <c r="H126" s="208">
        <f>(F126*250)/(D126*3)</f>
        <v>1.8470137389878372</v>
      </c>
      <c r="I126">
        <v>0.6</v>
      </c>
      <c r="J126">
        <v>1.3</v>
      </c>
    </row>
    <row r="127" spans="3:10">
      <c r="C127">
        <v>1860</v>
      </c>
      <c r="E127" s="68">
        <v>0.9</v>
      </c>
      <c r="F127" s="68">
        <v>0.5</v>
      </c>
    </row>
    <row r="128" spans="3:10">
      <c r="C128">
        <v>1861</v>
      </c>
      <c r="E128" s="68">
        <v>1</v>
      </c>
      <c r="F128" s="68">
        <v>0.6</v>
      </c>
    </row>
    <row r="129" spans="3:10">
      <c r="C129">
        <v>1862</v>
      </c>
    </row>
    <row r="130" spans="3:10">
      <c r="C130">
        <v>1863</v>
      </c>
      <c r="E130" s="68">
        <v>1</v>
      </c>
      <c r="F130" s="68">
        <v>0.7</v>
      </c>
    </row>
    <row r="131" spans="3:10">
      <c r="C131">
        <v>1864</v>
      </c>
      <c r="E131" s="68">
        <v>1</v>
      </c>
      <c r="F131" s="68">
        <v>0.75</v>
      </c>
    </row>
    <row r="132" spans="3:10">
      <c r="C132">
        <v>1865</v>
      </c>
      <c r="D132" s="68">
        <v>19.804826639960385</v>
      </c>
      <c r="E132" s="68">
        <v>1.1000000000000001</v>
      </c>
      <c r="F132" s="68">
        <v>0.75</v>
      </c>
      <c r="G132" s="208">
        <f t="shared" ref="G132:G134" si="3">(E132*250)/(D132*3)</f>
        <v>4.6285013412695051</v>
      </c>
      <c r="H132" s="208">
        <f t="shared" ref="H132:H134" si="4">(F132*250)/(D132*3)</f>
        <v>3.1557963690473896</v>
      </c>
      <c r="I132">
        <v>1</v>
      </c>
      <c r="J132">
        <v>1.5</v>
      </c>
    </row>
    <row r="133" spans="3:10">
      <c r="C133">
        <v>1866</v>
      </c>
      <c r="D133" s="68">
        <v>26.862015264837307</v>
      </c>
      <c r="E133" s="68">
        <v>1.1000000000000001</v>
      </c>
      <c r="F133" s="68">
        <v>0.7</v>
      </c>
      <c r="G133" s="208">
        <f t="shared" si="3"/>
        <v>3.4125014732851935</v>
      </c>
      <c r="H133" s="208">
        <f t="shared" si="4"/>
        <v>2.1715918466360322</v>
      </c>
      <c r="I133">
        <v>1</v>
      </c>
      <c r="J133">
        <v>1.5</v>
      </c>
    </row>
    <row r="134" spans="3:10">
      <c r="C134">
        <v>1867</v>
      </c>
      <c r="D134" s="68">
        <v>26.835347757052695</v>
      </c>
      <c r="E134" s="68">
        <v>1.1000000000000001</v>
      </c>
      <c r="F134" s="68">
        <v>0.7</v>
      </c>
      <c r="G134" s="208">
        <f t="shared" si="3"/>
        <v>3.4158926314854785</v>
      </c>
      <c r="H134" s="208">
        <f t="shared" si="4"/>
        <v>2.1737498563998496</v>
      </c>
      <c r="I134">
        <v>1</v>
      </c>
      <c r="J134">
        <v>1.5</v>
      </c>
    </row>
    <row r="135" spans="3:10">
      <c r="C135">
        <v>1868</v>
      </c>
      <c r="D135" s="68">
        <v>27.728652961021933</v>
      </c>
    </row>
    <row r="136" spans="3:10">
      <c r="C136">
        <v>1869</v>
      </c>
      <c r="D136" s="68">
        <v>27.748413604991157</v>
      </c>
    </row>
    <row r="137" spans="3:10">
      <c r="C137">
        <v>1870</v>
      </c>
      <c r="D137" s="68">
        <v>27.460942988960387</v>
      </c>
    </row>
    <row r="138" spans="3:10">
      <c r="C138">
        <v>1871</v>
      </c>
      <c r="D138" s="68">
        <v>29.942273016629617</v>
      </c>
      <c r="E138" s="68">
        <v>1.17</v>
      </c>
      <c r="F138" s="68">
        <v>0.87083330000000003</v>
      </c>
      <c r="G138" s="208">
        <f t="shared" ref="G138:G142" si="5">(E138*250)/(D138*3)</f>
        <v>3.2562658134153524</v>
      </c>
      <c r="H138" s="208">
        <f t="shared" ref="H138:H142" si="6">(F138*250)/(D138*3)</f>
        <v>2.4236450461313468</v>
      </c>
      <c r="I138">
        <v>0.9</v>
      </c>
      <c r="J138">
        <v>1.5</v>
      </c>
    </row>
    <row r="139" spans="3:10">
      <c r="C139">
        <v>1872</v>
      </c>
      <c r="D139" s="68">
        <v>27.706159583523078</v>
      </c>
      <c r="E139" s="68">
        <v>1.2041667</v>
      </c>
      <c r="F139" s="68">
        <v>0.80625000000000002</v>
      </c>
      <c r="G139" s="208">
        <f t="shared" si="5"/>
        <v>3.621838122223072</v>
      </c>
      <c r="H139" s="208">
        <f t="shared" si="6"/>
        <v>2.4250022742219595</v>
      </c>
      <c r="I139">
        <v>1.1000000000000001</v>
      </c>
      <c r="J139">
        <v>1.6</v>
      </c>
    </row>
    <row r="140" spans="3:10">
      <c r="C140">
        <v>1873</v>
      </c>
      <c r="D140" s="68">
        <v>11.868937893340096</v>
      </c>
      <c r="E140" s="68">
        <v>1.1625000000000001</v>
      </c>
      <c r="F140" s="68">
        <v>0.75416669999999997</v>
      </c>
      <c r="G140" s="208">
        <f t="shared" si="5"/>
        <v>8.1620614136298197</v>
      </c>
      <c r="H140" s="208">
        <f t="shared" si="6"/>
        <v>5.2951010077544396</v>
      </c>
      <c r="I140">
        <v>1.2</v>
      </c>
      <c r="J140">
        <v>1.7</v>
      </c>
    </row>
    <row r="141" spans="3:10">
      <c r="C141">
        <v>1874</v>
      </c>
      <c r="D141" s="68">
        <v>31.512213573017021</v>
      </c>
      <c r="E141" s="68">
        <v>1.1499999999999999</v>
      </c>
      <c r="F141" s="68">
        <v>0.86458330000000005</v>
      </c>
      <c r="G141" s="208">
        <f t="shared" si="5"/>
        <v>3.0411488901367623</v>
      </c>
      <c r="H141" s="208">
        <f t="shared" si="6"/>
        <v>2.2863709071528517</v>
      </c>
      <c r="I141">
        <v>1.1000000000000001</v>
      </c>
      <c r="J141">
        <v>1.5</v>
      </c>
    </row>
    <row r="142" spans="3:10">
      <c r="C142">
        <v>1875</v>
      </c>
      <c r="D142" s="68">
        <v>31.272969900570867</v>
      </c>
      <c r="E142" s="68">
        <v>1.2416666999999999</v>
      </c>
      <c r="F142" s="68">
        <v>0.94166669999999997</v>
      </c>
      <c r="G142" s="208">
        <f t="shared" si="5"/>
        <v>3.3086791989689215</v>
      </c>
      <c r="H142" s="208">
        <f t="shared" si="6"/>
        <v>2.5092667965177027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725E-2B1C-4403-81F6-FD62E6A20118}">
  <dimension ref="B4:K7"/>
  <sheetViews>
    <sheetView workbookViewId="0">
      <selection activeCell="D29" sqref="D29"/>
    </sheetView>
  </sheetViews>
  <sheetFormatPr defaultRowHeight="14.25"/>
  <sheetData>
    <row r="4" spans="2:11">
      <c r="C4" t="s">
        <v>331</v>
      </c>
      <c r="D4" t="s">
        <v>326</v>
      </c>
      <c r="E4" t="s">
        <v>329</v>
      </c>
      <c r="F4" t="s">
        <v>330</v>
      </c>
      <c r="G4" t="s">
        <v>327</v>
      </c>
      <c r="H4" t="s">
        <v>628</v>
      </c>
      <c r="I4" t="s">
        <v>627</v>
      </c>
      <c r="J4" t="s">
        <v>328</v>
      </c>
      <c r="K4" t="s">
        <v>620</v>
      </c>
    </row>
    <row r="5" spans="2:11">
      <c r="B5" t="s">
        <v>618</v>
      </c>
      <c r="C5">
        <v>1.24</v>
      </c>
      <c r="D5">
        <v>3.5</v>
      </c>
      <c r="E5">
        <v>2.2000000000000002</v>
      </c>
      <c r="F5">
        <v>2</v>
      </c>
      <c r="G5">
        <v>0.71</v>
      </c>
      <c r="H5">
        <v>0.56000000000000005</v>
      </c>
      <c r="I5">
        <v>0.71</v>
      </c>
      <c r="J5">
        <v>1</v>
      </c>
      <c r="K5">
        <f>(0.405+0.935)/2</f>
        <v>0.67</v>
      </c>
    </row>
    <row r="6" spans="2:11">
      <c r="B6" t="s">
        <v>619</v>
      </c>
      <c r="C6">
        <v>1.05</v>
      </c>
      <c r="D6">
        <v>2.5</v>
      </c>
      <c r="E6">
        <v>2</v>
      </c>
      <c r="F6">
        <v>1.8</v>
      </c>
      <c r="G6">
        <v>0.6</v>
      </c>
      <c r="H6">
        <v>0.48</v>
      </c>
      <c r="I6">
        <v>0.51</v>
      </c>
      <c r="J6">
        <v>0.9</v>
      </c>
    </row>
    <row r="7" spans="2:11">
      <c r="B7" t="s">
        <v>776</v>
      </c>
      <c r="C7">
        <v>2.92</v>
      </c>
      <c r="G7">
        <v>0.53</v>
      </c>
      <c r="H7">
        <v>0.54</v>
      </c>
      <c r="I7">
        <v>0.54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F136-16B2-4005-9A6C-F3E2036FA071}">
  <dimension ref="A2:L141"/>
  <sheetViews>
    <sheetView workbookViewId="0">
      <selection activeCell="E34" sqref="E34"/>
    </sheetView>
  </sheetViews>
  <sheetFormatPr defaultRowHeight="14.25"/>
  <cols>
    <col min="2" max="2" width="9.06640625" style="88"/>
    <col min="8" max="10" width="0" hidden="1" customWidth="1"/>
    <col min="11" max="12" width="9.06640625" style="88"/>
  </cols>
  <sheetData>
    <row r="2" spans="1:12">
      <c r="A2" t="s">
        <v>295</v>
      </c>
      <c r="B2" s="88" t="s">
        <v>563</v>
      </c>
      <c r="C2" s="88" t="s">
        <v>621</v>
      </c>
      <c r="D2" s="88" t="s">
        <v>622</v>
      </c>
      <c r="G2" t="s">
        <v>5</v>
      </c>
      <c r="H2" t="s">
        <v>590</v>
      </c>
      <c r="I2" t="s">
        <v>612</v>
      </c>
      <c r="J2" t="s">
        <v>613</v>
      </c>
      <c r="K2" s="88" t="s">
        <v>621</v>
      </c>
      <c r="L2" s="88" t="s">
        <v>622</v>
      </c>
    </row>
    <row r="3" spans="1:12">
      <c r="A3">
        <v>1700</v>
      </c>
      <c r="B3" s="88">
        <v>151.93488677996274</v>
      </c>
      <c r="G3">
        <v>1701</v>
      </c>
      <c r="J3">
        <v>0.06</v>
      </c>
    </row>
    <row r="4" spans="1:12">
      <c r="A4">
        <v>1701</v>
      </c>
      <c r="B4" s="88">
        <v>149.2267800969868</v>
      </c>
      <c r="G4">
        <v>1704</v>
      </c>
      <c r="I4">
        <v>0.02</v>
      </c>
    </row>
    <row r="5" spans="1:12">
      <c r="A5">
        <v>1702</v>
      </c>
      <c r="B5" s="88">
        <v>146.57591397347366</v>
      </c>
      <c r="G5">
        <v>1708</v>
      </c>
    </row>
    <row r="6" spans="1:12">
      <c r="A6">
        <v>1703</v>
      </c>
      <c r="B6" s="88">
        <v>161.99202503148518</v>
      </c>
      <c r="G6">
        <v>1718</v>
      </c>
      <c r="H6">
        <v>4.7741878905000004</v>
      </c>
      <c r="I6">
        <v>2.3E-2</v>
      </c>
      <c r="K6" s="88">
        <f>(H6*3)/I6</f>
        <v>622.72015963043486</v>
      </c>
    </row>
    <row r="7" spans="1:12">
      <c r="A7">
        <v>1704</v>
      </c>
      <c r="B7" s="88">
        <v>136.04963329320117</v>
      </c>
      <c r="G7">
        <v>1722</v>
      </c>
      <c r="J7">
        <v>2.5000000000000001E-2</v>
      </c>
    </row>
    <row r="8" spans="1:12">
      <c r="A8">
        <v>1705</v>
      </c>
      <c r="B8" s="88">
        <v>142.62394869396502</v>
      </c>
      <c r="G8">
        <v>1724</v>
      </c>
      <c r="J8">
        <v>4.4999999999999998E-2</v>
      </c>
    </row>
    <row r="9" spans="1:12">
      <c r="A9">
        <v>1706</v>
      </c>
      <c r="B9" s="88">
        <v>141.13666848016965</v>
      </c>
      <c r="G9">
        <v>1726</v>
      </c>
      <c r="I9">
        <v>0.1</v>
      </c>
    </row>
    <row r="10" spans="1:12">
      <c r="A10">
        <v>1707</v>
      </c>
      <c r="B10" s="88">
        <v>147.80972550095953</v>
      </c>
      <c r="G10">
        <v>1726</v>
      </c>
    </row>
    <row r="11" spans="1:12">
      <c r="A11">
        <v>1708</v>
      </c>
      <c r="B11" s="88">
        <v>179.72860346387452</v>
      </c>
      <c r="G11">
        <v>1727</v>
      </c>
    </row>
    <row r="12" spans="1:12">
      <c r="A12">
        <v>1709</v>
      </c>
      <c r="B12" s="88">
        <v>203.08837097185045</v>
      </c>
      <c r="G12">
        <v>1728</v>
      </c>
      <c r="H12">
        <v>4.1209874475000001</v>
      </c>
      <c r="L12" s="88">
        <f>(H12*3)/J13</f>
        <v>772.68514640625006</v>
      </c>
    </row>
    <row r="13" spans="1:12">
      <c r="A13">
        <v>1710</v>
      </c>
      <c r="B13" s="88">
        <v>175.52739133815896</v>
      </c>
      <c r="G13">
        <v>1729</v>
      </c>
      <c r="J13">
        <v>1.6E-2</v>
      </c>
    </row>
    <row r="14" spans="1:12">
      <c r="A14">
        <v>1711</v>
      </c>
      <c r="B14" s="88">
        <v>168.2370275591955</v>
      </c>
      <c r="G14">
        <v>1730</v>
      </c>
      <c r="J14">
        <v>0.08</v>
      </c>
    </row>
    <row r="15" spans="1:12">
      <c r="A15">
        <v>1712</v>
      </c>
      <c r="B15" s="88">
        <v>161.366322131804</v>
      </c>
      <c r="G15">
        <v>1731</v>
      </c>
      <c r="J15">
        <v>1.1999999999999999E-2</v>
      </c>
    </row>
    <row r="16" spans="1:12">
      <c r="A16">
        <v>1713</v>
      </c>
      <c r="B16" s="88">
        <v>168.91782347249213</v>
      </c>
      <c r="G16">
        <v>1732</v>
      </c>
    </row>
    <row r="17" spans="1:12">
      <c r="A17">
        <v>1714</v>
      </c>
      <c r="B17" s="88">
        <v>152.9078233643057</v>
      </c>
      <c r="G17">
        <v>1733</v>
      </c>
    </row>
    <row r="18" spans="1:12">
      <c r="A18">
        <v>1715</v>
      </c>
      <c r="B18" s="88">
        <v>161.59366530751967</v>
      </c>
      <c r="G18">
        <v>1734</v>
      </c>
      <c r="J18">
        <v>1.6666666666666666E-2</v>
      </c>
    </row>
    <row r="19" spans="1:12">
      <c r="A19">
        <v>1716</v>
      </c>
      <c r="B19" s="88">
        <v>160.28206432979991</v>
      </c>
      <c r="G19">
        <v>1736</v>
      </c>
      <c r="J19">
        <v>5.0000000000000001E-3</v>
      </c>
    </row>
    <row r="20" spans="1:12">
      <c r="A20">
        <v>1717</v>
      </c>
      <c r="B20" s="88">
        <v>151.24121365679417</v>
      </c>
      <c r="G20">
        <v>1737</v>
      </c>
      <c r="I20">
        <v>1.4545454545454545E-2</v>
      </c>
      <c r="J20">
        <v>1.381818181818182E-2</v>
      </c>
    </row>
    <row r="21" spans="1:12">
      <c r="A21">
        <v>1718</v>
      </c>
      <c r="B21" s="88">
        <v>143.41937719915742</v>
      </c>
      <c r="C21">
        <v>623</v>
      </c>
      <c r="G21">
        <v>1738</v>
      </c>
      <c r="H21">
        <v>4.0068489300000003</v>
      </c>
      <c r="J21">
        <v>3.833333333333333E-2</v>
      </c>
      <c r="L21" s="88">
        <f>(H21*3)/J21</f>
        <v>313.5794814782609</v>
      </c>
    </row>
    <row r="22" spans="1:12">
      <c r="A22">
        <v>1719</v>
      </c>
      <c r="B22" s="88">
        <v>151.42840145779573</v>
      </c>
      <c r="G22">
        <v>1739</v>
      </c>
      <c r="J22">
        <v>1.6666666666666666E-2</v>
      </c>
    </row>
    <row r="23" spans="1:12">
      <c r="A23">
        <v>1720</v>
      </c>
      <c r="B23" s="88">
        <v>153.40100185230165</v>
      </c>
      <c r="G23">
        <v>1740</v>
      </c>
      <c r="J23">
        <v>1.3000000000000001E-2</v>
      </c>
    </row>
    <row r="24" spans="1:12">
      <c r="A24">
        <v>1721</v>
      </c>
      <c r="B24" s="88">
        <v>148.87396235039725</v>
      </c>
      <c r="G24">
        <v>1741</v>
      </c>
      <c r="I24">
        <v>0.12</v>
      </c>
    </row>
    <row r="25" spans="1:12">
      <c r="A25">
        <v>1722</v>
      </c>
      <c r="B25" s="88">
        <v>151.31199078113528</v>
      </c>
      <c r="G25">
        <v>1749</v>
      </c>
      <c r="I25">
        <v>0.36085326086956526</v>
      </c>
    </row>
    <row r="26" spans="1:12">
      <c r="A26">
        <v>1723</v>
      </c>
      <c r="B26" s="88">
        <v>153.03562710783149</v>
      </c>
      <c r="G26">
        <v>1756</v>
      </c>
      <c r="J26">
        <v>0.02</v>
      </c>
    </row>
    <row r="27" spans="1:12">
      <c r="A27">
        <v>1724</v>
      </c>
      <c r="B27" s="88">
        <v>160.79957310863139</v>
      </c>
      <c r="G27">
        <v>1757</v>
      </c>
      <c r="I27">
        <v>0.15</v>
      </c>
    </row>
    <row r="28" spans="1:12">
      <c r="A28">
        <v>1725</v>
      </c>
      <c r="B28" s="88">
        <v>169.22718810215841</v>
      </c>
      <c r="G28">
        <v>1758</v>
      </c>
    </row>
    <row r="29" spans="1:12">
      <c r="A29">
        <v>1726</v>
      </c>
      <c r="B29" s="88">
        <v>158.03675927541718</v>
      </c>
      <c r="G29">
        <v>1759</v>
      </c>
      <c r="I29">
        <v>0.24</v>
      </c>
    </row>
    <row r="30" spans="1:12">
      <c r="A30">
        <v>1727</v>
      </c>
      <c r="B30" s="88">
        <v>176.5482853122021</v>
      </c>
      <c r="G30">
        <v>1760</v>
      </c>
    </row>
    <row r="31" spans="1:12">
      <c r="A31">
        <v>1728</v>
      </c>
      <c r="B31" s="88">
        <v>172.99003894571413</v>
      </c>
      <c r="D31">
        <v>773</v>
      </c>
      <c r="G31">
        <v>1761</v>
      </c>
    </row>
    <row r="32" spans="1:12">
      <c r="A32">
        <v>1729</v>
      </c>
      <c r="B32" s="88">
        <v>152.05632787494264</v>
      </c>
      <c r="G32">
        <v>1762</v>
      </c>
      <c r="H32">
        <v>4.2015216949999994</v>
      </c>
      <c r="J32">
        <v>0.04</v>
      </c>
      <c r="L32" s="88">
        <f>(H32*3)/J32</f>
        <v>315.11412712499992</v>
      </c>
    </row>
    <row r="33" spans="1:12">
      <c r="A33">
        <v>1730</v>
      </c>
      <c r="B33" s="88">
        <v>147.40621276865508</v>
      </c>
      <c r="G33">
        <v>1763</v>
      </c>
      <c r="H33">
        <v>4.3245307087499993</v>
      </c>
    </row>
    <row r="34" spans="1:12">
      <c r="A34">
        <v>1731</v>
      </c>
      <c r="B34" s="88">
        <v>140.3368478968379</v>
      </c>
      <c r="G34">
        <v>1764</v>
      </c>
      <c r="H34">
        <v>4.249504763</v>
      </c>
      <c r="I34">
        <v>0.5714285714285714</v>
      </c>
      <c r="J34">
        <v>0.11333333333333333</v>
      </c>
    </row>
    <row r="35" spans="1:12">
      <c r="A35">
        <v>1732</v>
      </c>
      <c r="B35" s="88">
        <v>141.30198652949557</v>
      </c>
      <c r="G35">
        <v>1765</v>
      </c>
    </row>
    <row r="36" spans="1:12">
      <c r="A36">
        <v>1733</v>
      </c>
      <c r="B36" s="88">
        <v>148.62719626038867</v>
      </c>
      <c r="G36">
        <v>1766</v>
      </c>
      <c r="I36">
        <v>0.25</v>
      </c>
    </row>
    <row r="37" spans="1:12">
      <c r="A37">
        <v>1734</v>
      </c>
      <c r="B37" s="88">
        <v>153.44757552457347</v>
      </c>
      <c r="G37">
        <v>1767</v>
      </c>
      <c r="H37">
        <v>8.1787793240999989</v>
      </c>
      <c r="I37">
        <v>0.16</v>
      </c>
      <c r="J37">
        <v>0.05</v>
      </c>
      <c r="K37" s="88">
        <f>(H37*3)/I37</f>
        <v>153.35211232687499</v>
      </c>
      <c r="L37" s="88">
        <f>(H37*3)/J37</f>
        <v>490.7267594459999</v>
      </c>
    </row>
    <row r="38" spans="1:12">
      <c r="A38">
        <v>1735</v>
      </c>
      <c r="B38" s="88">
        <v>141.96909064787673</v>
      </c>
      <c r="G38">
        <v>1768</v>
      </c>
    </row>
    <row r="39" spans="1:12">
      <c r="A39">
        <v>1736</v>
      </c>
      <c r="B39" s="88">
        <v>143.54735137273565</v>
      </c>
      <c r="G39">
        <v>1769</v>
      </c>
      <c r="I39">
        <v>7.0000000000000007E-2</v>
      </c>
      <c r="J39">
        <v>0.05</v>
      </c>
    </row>
    <row r="40" spans="1:12">
      <c r="A40">
        <v>1737</v>
      </c>
      <c r="B40" s="88">
        <v>137.40902227506723</v>
      </c>
      <c r="G40">
        <v>1770</v>
      </c>
    </row>
    <row r="41" spans="1:12">
      <c r="A41">
        <v>1738</v>
      </c>
      <c r="B41" s="88">
        <v>141.36299946792207</v>
      </c>
      <c r="D41">
        <v>314</v>
      </c>
      <c r="G41">
        <v>1771</v>
      </c>
    </row>
    <row r="42" spans="1:12">
      <c r="A42">
        <v>1739</v>
      </c>
      <c r="B42" s="88">
        <v>158.53310279383305</v>
      </c>
      <c r="G42">
        <v>1772</v>
      </c>
      <c r="J42">
        <v>0.08</v>
      </c>
    </row>
    <row r="43" spans="1:12">
      <c r="A43">
        <v>1740</v>
      </c>
      <c r="B43" s="88">
        <v>164.62787897365769</v>
      </c>
      <c r="G43">
        <v>1773</v>
      </c>
      <c r="I43">
        <v>0.26650000000000001</v>
      </c>
    </row>
    <row r="44" spans="1:12">
      <c r="A44">
        <v>1741</v>
      </c>
      <c r="B44" s="88">
        <v>143.64944153682956</v>
      </c>
      <c r="G44">
        <v>1774</v>
      </c>
    </row>
    <row r="45" spans="1:12">
      <c r="A45">
        <v>1742</v>
      </c>
      <c r="B45" s="88">
        <v>134.898361688271</v>
      </c>
      <c r="G45">
        <v>1775</v>
      </c>
    </row>
    <row r="46" spans="1:12">
      <c r="A46">
        <v>1743</v>
      </c>
      <c r="B46" s="88">
        <v>144.61473520502727</v>
      </c>
      <c r="G46">
        <v>1776</v>
      </c>
      <c r="J46">
        <v>0.2</v>
      </c>
    </row>
    <row r="47" spans="1:12">
      <c r="A47">
        <v>1744</v>
      </c>
      <c r="B47" s="88">
        <v>132.83958506014579</v>
      </c>
      <c r="G47">
        <v>1777</v>
      </c>
      <c r="H47">
        <v>6.1177137105000003</v>
      </c>
      <c r="I47">
        <v>0.24152499999999999</v>
      </c>
      <c r="J47">
        <v>0.17666666666666667</v>
      </c>
      <c r="K47" s="88">
        <f>(H47*3)/I47</f>
        <v>75.988577296346151</v>
      </c>
      <c r="L47" s="88">
        <f>(H47*3)/J47</f>
        <v>103.88570451792454</v>
      </c>
    </row>
    <row r="48" spans="1:12">
      <c r="A48">
        <v>1745</v>
      </c>
      <c r="B48" s="88">
        <v>144.14963044635587</v>
      </c>
      <c r="G48">
        <v>1778</v>
      </c>
      <c r="I48">
        <v>0.45305000000000001</v>
      </c>
      <c r="J48">
        <v>0.15846874999999996</v>
      </c>
    </row>
    <row r="49" spans="1:12">
      <c r="A49">
        <v>1746</v>
      </c>
      <c r="B49" s="88">
        <v>144.28942106110156</v>
      </c>
      <c r="G49">
        <v>1779</v>
      </c>
      <c r="I49">
        <v>0.32871666666666666</v>
      </c>
      <c r="J49">
        <v>0.12999999999999998</v>
      </c>
    </row>
    <row r="50" spans="1:12">
      <c r="A50">
        <v>1747</v>
      </c>
      <c r="B50" s="88">
        <v>142.99240214543406</v>
      </c>
      <c r="G50">
        <v>1780</v>
      </c>
      <c r="I50">
        <v>0.31552666666666668</v>
      </c>
      <c r="J50">
        <v>0.14466666666666667</v>
      </c>
    </row>
    <row r="51" spans="1:12">
      <c r="A51">
        <v>1748</v>
      </c>
      <c r="B51" s="88">
        <v>144.37947737259279</v>
      </c>
      <c r="G51">
        <v>1781</v>
      </c>
      <c r="I51">
        <v>0.44772000000000001</v>
      </c>
    </row>
    <row r="52" spans="1:12">
      <c r="A52">
        <v>1749</v>
      </c>
      <c r="B52" s="88">
        <v>143.09160972485316</v>
      </c>
      <c r="G52">
        <v>1782</v>
      </c>
    </row>
    <row r="53" spans="1:12">
      <c r="A53">
        <v>1750</v>
      </c>
      <c r="B53" s="88">
        <v>129.29353664804512</v>
      </c>
      <c r="G53">
        <v>1783</v>
      </c>
    </row>
    <row r="54" spans="1:12">
      <c r="A54">
        <v>1751</v>
      </c>
      <c r="B54" s="88">
        <v>146.57351607143741</v>
      </c>
      <c r="G54">
        <v>1784</v>
      </c>
      <c r="J54">
        <v>0.14083333333333334</v>
      </c>
    </row>
    <row r="55" spans="1:12">
      <c r="A55">
        <v>1752</v>
      </c>
      <c r="B55" s="88">
        <v>148.59951904403766</v>
      </c>
      <c r="G55">
        <v>1785</v>
      </c>
      <c r="J55">
        <v>0.13571428571428573</v>
      </c>
    </row>
    <row r="56" spans="1:12">
      <c r="A56">
        <v>1753</v>
      </c>
      <c r="B56" s="88">
        <v>146.45695877037514</v>
      </c>
      <c r="G56">
        <v>1786</v>
      </c>
      <c r="H56">
        <v>10.601767856362308</v>
      </c>
      <c r="J56">
        <v>0.1</v>
      </c>
      <c r="L56" s="88">
        <f>(H56*3)/J56</f>
        <v>318.05303569086919</v>
      </c>
    </row>
    <row r="57" spans="1:12">
      <c r="A57">
        <v>1754</v>
      </c>
      <c r="B57" s="88">
        <v>139.54561713245749</v>
      </c>
      <c r="G57">
        <v>1787</v>
      </c>
      <c r="H57">
        <v>18.276205560574976</v>
      </c>
      <c r="J57">
        <v>0.18333333333333335</v>
      </c>
      <c r="L57" s="88">
        <f t="shared" ref="L57:L59" si="0">(H57*3)/J57</f>
        <v>299.06518190031773</v>
      </c>
    </row>
    <row r="58" spans="1:12">
      <c r="A58">
        <v>1755</v>
      </c>
      <c r="B58" s="88">
        <v>147.72173822363948</v>
      </c>
      <c r="G58">
        <v>1788</v>
      </c>
      <c r="H58">
        <v>12.572337336931639</v>
      </c>
      <c r="J58">
        <v>0.14083333333333334</v>
      </c>
      <c r="L58" s="88">
        <f t="shared" si="0"/>
        <v>267.8131030352302</v>
      </c>
    </row>
    <row r="59" spans="1:12">
      <c r="A59">
        <v>1756</v>
      </c>
      <c r="B59" s="88">
        <v>177.78987269348249</v>
      </c>
      <c r="G59">
        <v>1789</v>
      </c>
      <c r="H59">
        <v>11.000405849931642</v>
      </c>
      <c r="I59">
        <v>0.25</v>
      </c>
      <c r="J59">
        <v>0.16499999999999998</v>
      </c>
      <c r="K59" s="88">
        <f>(H59*3)/I59</f>
        <v>132.00487019917972</v>
      </c>
      <c r="L59" s="88">
        <f t="shared" si="0"/>
        <v>200.00737908966627</v>
      </c>
    </row>
    <row r="60" spans="1:12">
      <c r="A60">
        <v>1757</v>
      </c>
      <c r="B60" s="88">
        <v>165.07579990719137</v>
      </c>
      <c r="G60">
        <v>1790</v>
      </c>
      <c r="I60">
        <v>0.48333333333333339</v>
      </c>
      <c r="J60">
        <v>0.170375</v>
      </c>
    </row>
    <row r="61" spans="1:12">
      <c r="A61">
        <v>1758</v>
      </c>
      <c r="B61" s="88">
        <v>153.54669759497273</v>
      </c>
      <c r="G61">
        <v>1791</v>
      </c>
      <c r="I61">
        <v>0.40508000000000005</v>
      </c>
    </row>
    <row r="62" spans="1:12">
      <c r="A62">
        <v>1759</v>
      </c>
      <c r="B62" s="88">
        <v>145.80511547887656</v>
      </c>
      <c r="G62">
        <v>1792</v>
      </c>
      <c r="H62">
        <v>9.8821683624316421</v>
      </c>
    </row>
    <row r="63" spans="1:12">
      <c r="A63">
        <v>1760</v>
      </c>
      <c r="B63" s="88">
        <v>145.24428170889968</v>
      </c>
      <c r="G63">
        <v>1793</v>
      </c>
      <c r="H63">
        <v>14.400411513833333</v>
      </c>
      <c r="J63">
        <v>0.11166666666666665</v>
      </c>
    </row>
    <row r="64" spans="1:12">
      <c r="A64">
        <v>1761</v>
      </c>
      <c r="B64" s="88">
        <v>137.04367902046224</v>
      </c>
      <c r="G64">
        <v>1794</v>
      </c>
      <c r="H64">
        <v>13.15573865190577</v>
      </c>
      <c r="I64">
        <v>0.154</v>
      </c>
      <c r="J64">
        <v>0.25</v>
      </c>
      <c r="K64" s="88">
        <f t="shared" ref="K64:K68" si="1">(H64*3)/I64</f>
        <v>256.2806230890734</v>
      </c>
      <c r="L64" s="88">
        <f>(H64*3)/J64</f>
        <v>157.86886382286923</v>
      </c>
    </row>
    <row r="65" spans="1:12">
      <c r="A65">
        <v>1762</v>
      </c>
      <c r="B65" s="88">
        <v>144.19296767780887</v>
      </c>
      <c r="D65">
        <v>315</v>
      </c>
      <c r="G65">
        <v>1795</v>
      </c>
      <c r="H65">
        <v>15.92018632575</v>
      </c>
      <c r="I65">
        <v>0.1</v>
      </c>
      <c r="K65" s="88">
        <f t="shared" si="1"/>
        <v>477.60558977249997</v>
      </c>
    </row>
    <row r="66" spans="1:12">
      <c r="A66">
        <v>1763</v>
      </c>
      <c r="B66" s="88">
        <v>147.12140924960136</v>
      </c>
      <c r="G66">
        <v>1796</v>
      </c>
      <c r="H66">
        <v>17.666848116218748</v>
      </c>
      <c r="I66">
        <v>0.55000000000000004</v>
      </c>
      <c r="J66">
        <v>0.25</v>
      </c>
      <c r="K66" s="88">
        <f t="shared" si="1"/>
        <v>96.364626088465897</v>
      </c>
      <c r="L66" s="88">
        <f>(H66*3)/J66</f>
        <v>212.00217739462499</v>
      </c>
    </row>
    <row r="67" spans="1:12">
      <c r="A67">
        <v>1764</v>
      </c>
      <c r="B67" s="88">
        <v>157.2723797582324</v>
      </c>
      <c r="G67">
        <v>1797</v>
      </c>
      <c r="H67">
        <v>15.212691773343751</v>
      </c>
      <c r="I67">
        <v>0.23</v>
      </c>
      <c r="K67" s="88">
        <f t="shared" si="1"/>
        <v>198.42641443491848</v>
      </c>
    </row>
    <row r="68" spans="1:12">
      <c r="A68">
        <v>1765</v>
      </c>
      <c r="B68" s="88">
        <v>171.26278354275934</v>
      </c>
      <c r="G68">
        <v>1798</v>
      </c>
      <c r="H68">
        <v>13.837095099000003</v>
      </c>
      <c r="I68">
        <v>0.15</v>
      </c>
      <c r="J68">
        <v>0.1</v>
      </c>
      <c r="K68" s="88">
        <f t="shared" si="1"/>
        <v>276.74190198000008</v>
      </c>
      <c r="L68" s="88">
        <f>(H68*3)/J68</f>
        <v>415.11285297000006</v>
      </c>
    </row>
    <row r="69" spans="1:12">
      <c r="A69">
        <v>1766</v>
      </c>
      <c r="B69" s="88">
        <v>166.8739905243053</v>
      </c>
      <c r="G69">
        <v>1799</v>
      </c>
      <c r="H69">
        <v>14.1333016654375</v>
      </c>
    </row>
    <row r="70" spans="1:12">
      <c r="A70">
        <v>1767</v>
      </c>
      <c r="B70" s="88">
        <v>184.80110459325522</v>
      </c>
      <c r="C70">
        <v>153</v>
      </c>
      <c r="D70">
        <v>491</v>
      </c>
      <c r="G70">
        <v>1800</v>
      </c>
      <c r="H70">
        <v>17.359921714799999</v>
      </c>
      <c r="I70">
        <v>0.60761999999999994</v>
      </c>
      <c r="J70">
        <v>0.22750000000000004</v>
      </c>
      <c r="K70" s="88">
        <f>(H70*3)/I70</f>
        <v>85.711077884862263</v>
      </c>
      <c r="L70" s="88">
        <f>(H70*3)/J70</f>
        <v>228.92204459076919</v>
      </c>
    </row>
    <row r="71" spans="1:12">
      <c r="A71">
        <v>1768</v>
      </c>
      <c r="B71" s="88">
        <v>179.78347527224383</v>
      </c>
      <c r="G71">
        <v>1801</v>
      </c>
      <c r="H71">
        <v>18.106124678181644</v>
      </c>
    </row>
    <row r="72" spans="1:12">
      <c r="A72">
        <v>1769</v>
      </c>
      <c r="B72" s="88">
        <v>163.15807171776265</v>
      </c>
      <c r="G72">
        <v>1802</v>
      </c>
      <c r="H72">
        <v>15.313636863000001</v>
      </c>
    </row>
    <row r="73" spans="1:12">
      <c r="A73">
        <v>1770</v>
      </c>
      <c r="B73" s="88">
        <v>166.27595765807533</v>
      </c>
      <c r="G73">
        <v>1803</v>
      </c>
    </row>
    <row r="74" spans="1:12">
      <c r="A74">
        <v>1771</v>
      </c>
      <c r="B74" s="88">
        <v>178.15733400885389</v>
      </c>
      <c r="G74">
        <v>1804</v>
      </c>
    </row>
    <row r="75" spans="1:12">
      <c r="A75">
        <v>1772</v>
      </c>
      <c r="B75" s="88">
        <v>194.20825838523459</v>
      </c>
      <c r="G75">
        <v>1805</v>
      </c>
      <c r="H75">
        <v>15.067322237916665</v>
      </c>
    </row>
    <row r="76" spans="1:12">
      <c r="A76">
        <v>1773</v>
      </c>
      <c r="B76" s="88">
        <v>194.29209940960834</v>
      </c>
      <c r="G76">
        <v>1806</v>
      </c>
      <c r="H76">
        <v>17.340630103125001</v>
      </c>
      <c r="I76">
        <v>0.55000000000000004</v>
      </c>
      <c r="J76">
        <v>0.4</v>
      </c>
      <c r="K76" s="88">
        <f>(H76*3)/I76</f>
        <v>94.585255107954538</v>
      </c>
      <c r="L76" s="88">
        <f>(H76*3)/J76</f>
        <v>130.0547257734375</v>
      </c>
    </row>
    <row r="77" spans="1:12">
      <c r="A77">
        <v>1774</v>
      </c>
      <c r="B77" s="88">
        <v>190.42213770079829</v>
      </c>
      <c r="G77">
        <v>1807</v>
      </c>
      <c r="H77">
        <v>18.1805791768125</v>
      </c>
    </row>
    <row r="78" spans="1:12">
      <c r="A78">
        <v>1775</v>
      </c>
      <c r="B78" s="88">
        <v>189.19242570463834</v>
      </c>
      <c r="G78">
        <v>1808</v>
      </c>
    </row>
    <row r="79" spans="1:12">
      <c r="A79">
        <v>1776</v>
      </c>
      <c r="B79" s="88">
        <v>176.30209286952376</v>
      </c>
      <c r="G79">
        <v>1809</v>
      </c>
      <c r="H79">
        <v>24.760617378000006</v>
      </c>
      <c r="I79">
        <v>1.35</v>
      </c>
      <c r="K79" s="88">
        <f t="shared" ref="K79:K80" si="2">(H79*3)/I79</f>
        <v>55.023594173333343</v>
      </c>
    </row>
    <row r="80" spans="1:12">
      <c r="A80">
        <v>1777</v>
      </c>
      <c r="B80" s="88">
        <v>189.35588642443452</v>
      </c>
      <c r="C80">
        <v>76</v>
      </c>
      <c r="D80">
        <v>104</v>
      </c>
      <c r="G80">
        <v>1810</v>
      </c>
      <c r="H80">
        <v>29.997571159500001</v>
      </c>
      <c r="I80">
        <v>1.375</v>
      </c>
      <c r="K80" s="88">
        <f t="shared" si="2"/>
        <v>65.449246166181823</v>
      </c>
    </row>
    <row r="81" spans="1:12">
      <c r="A81">
        <v>1778</v>
      </c>
      <c r="B81" s="88">
        <v>183.66010301812855</v>
      </c>
      <c r="G81">
        <v>1811</v>
      </c>
    </row>
    <row r="82" spans="1:12">
      <c r="A82">
        <v>1779</v>
      </c>
      <c r="B82" s="88">
        <v>173.11245368907095</v>
      </c>
      <c r="G82">
        <v>1812</v>
      </c>
    </row>
    <row r="83" spans="1:12">
      <c r="A83">
        <v>1780</v>
      </c>
      <c r="B83" s="88">
        <v>170.45898351299292</v>
      </c>
      <c r="G83">
        <v>1813</v>
      </c>
    </row>
    <row r="84" spans="1:12">
      <c r="A84">
        <v>1781</v>
      </c>
      <c r="B84" s="88">
        <v>183.50175093187798</v>
      </c>
      <c r="G84">
        <v>1814</v>
      </c>
    </row>
    <row r="85" spans="1:12">
      <c r="A85">
        <v>1782</v>
      </c>
      <c r="B85" s="88">
        <v>184.62841020821497</v>
      </c>
      <c r="G85">
        <v>1815</v>
      </c>
      <c r="H85">
        <v>39.493489937999996</v>
      </c>
      <c r="I85">
        <v>2.5</v>
      </c>
      <c r="J85">
        <v>1.86</v>
      </c>
      <c r="K85" s="88">
        <f>(H85*3)/I85</f>
        <v>47.392187925599998</v>
      </c>
      <c r="L85" s="88">
        <f>(H85*3)/J85</f>
        <v>63.699177319354831</v>
      </c>
    </row>
    <row r="86" spans="1:12">
      <c r="A86">
        <v>1783</v>
      </c>
      <c r="B86" s="88">
        <v>189.31242809701718</v>
      </c>
      <c r="G86">
        <v>1816</v>
      </c>
    </row>
    <row r="87" spans="1:12">
      <c r="A87">
        <v>1784</v>
      </c>
      <c r="B87" s="88">
        <v>185.70717009091157</v>
      </c>
      <c r="G87">
        <v>1817</v>
      </c>
    </row>
    <row r="88" spans="1:12">
      <c r="A88">
        <v>1785</v>
      </c>
      <c r="B88" s="88">
        <v>179.26523755384179</v>
      </c>
      <c r="G88">
        <v>1818</v>
      </c>
    </row>
    <row r="89" spans="1:12">
      <c r="A89">
        <v>1786</v>
      </c>
      <c r="B89" s="88">
        <v>174.01718421786421</v>
      </c>
      <c r="D89">
        <v>318.05303569086919</v>
      </c>
      <c r="G89">
        <v>1819</v>
      </c>
    </row>
    <row r="90" spans="1:12">
      <c r="A90">
        <v>1787</v>
      </c>
      <c r="B90" s="88">
        <v>175.90351332791784</v>
      </c>
      <c r="D90">
        <v>299.06518190031773</v>
      </c>
      <c r="G90">
        <v>1824</v>
      </c>
    </row>
    <row r="91" spans="1:12">
      <c r="A91">
        <v>1788</v>
      </c>
      <c r="B91" s="88">
        <v>181.37687399305858</v>
      </c>
      <c r="D91">
        <v>267.8131030352302</v>
      </c>
      <c r="G91">
        <v>1825</v>
      </c>
    </row>
    <row r="92" spans="1:12">
      <c r="A92">
        <v>1789</v>
      </c>
      <c r="B92" s="88">
        <v>190.19692620788359</v>
      </c>
      <c r="C92">
        <v>132.00487019917972</v>
      </c>
      <c r="D92">
        <v>200.00737908966627</v>
      </c>
      <c r="G92">
        <v>1826</v>
      </c>
      <c r="I92">
        <v>1.75</v>
      </c>
      <c r="J92">
        <v>0.75</v>
      </c>
    </row>
    <row r="93" spans="1:12">
      <c r="A93">
        <v>1790</v>
      </c>
      <c r="B93" s="88">
        <v>192.74581317242516</v>
      </c>
      <c r="G93">
        <v>1827</v>
      </c>
      <c r="I93">
        <v>0.7</v>
      </c>
      <c r="J93">
        <v>0.6</v>
      </c>
    </row>
    <row r="94" spans="1:12">
      <c r="A94">
        <v>1791</v>
      </c>
      <c r="B94" s="88">
        <v>185.78441706642525</v>
      </c>
      <c r="G94">
        <v>1828</v>
      </c>
      <c r="H94">
        <v>80.86</v>
      </c>
    </row>
    <row r="95" spans="1:12">
      <c r="A95">
        <v>1792</v>
      </c>
      <c r="B95" s="88">
        <v>183.25742134090078</v>
      </c>
      <c r="G95">
        <v>1829</v>
      </c>
      <c r="H95">
        <v>81.66</v>
      </c>
    </row>
    <row r="96" spans="1:12">
      <c r="A96">
        <v>1793</v>
      </c>
      <c r="B96" s="88">
        <v>181.46800946289699</v>
      </c>
      <c r="G96">
        <v>1830</v>
      </c>
    </row>
    <row r="97" spans="1:10">
      <c r="A97">
        <v>1794</v>
      </c>
      <c r="B97" s="88">
        <v>194.85019558149176</v>
      </c>
      <c r="C97">
        <v>256.2806230890734</v>
      </c>
      <c r="D97">
        <v>157.86886382286923</v>
      </c>
      <c r="G97">
        <v>1831</v>
      </c>
    </row>
    <row r="98" spans="1:10">
      <c r="A98">
        <v>1795</v>
      </c>
      <c r="B98" s="88">
        <v>212.72860212347825</v>
      </c>
      <c r="C98">
        <v>477.60558977249997</v>
      </c>
      <c r="G98">
        <v>1832</v>
      </c>
      <c r="I98">
        <v>1.8</v>
      </c>
      <c r="J98">
        <v>1</v>
      </c>
    </row>
    <row r="99" spans="1:10">
      <c r="A99">
        <v>1796</v>
      </c>
      <c r="B99" s="88">
        <v>202.35830333947925</v>
      </c>
      <c r="C99">
        <v>96.364626088465897</v>
      </c>
      <c r="D99">
        <v>212.00217739462499</v>
      </c>
      <c r="G99">
        <v>1833</v>
      </c>
    </row>
    <row r="100" spans="1:10">
      <c r="A100">
        <v>1797</v>
      </c>
      <c r="B100" s="88">
        <v>178.31317530330017</v>
      </c>
      <c r="C100">
        <v>198.42641443491848</v>
      </c>
      <c r="G100">
        <v>1834</v>
      </c>
      <c r="I100">
        <v>1.9</v>
      </c>
      <c r="J100">
        <v>0.97</v>
      </c>
    </row>
    <row r="101" spans="1:10">
      <c r="A101">
        <v>1798</v>
      </c>
      <c r="B101" s="88">
        <v>173.23797436007808</v>
      </c>
      <c r="C101">
        <v>276.74190198000008</v>
      </c>
      <c r="D101">
        <v>415.11285297000006</v>
      </c>
      <c r="G101">
        <v>1835</v>
      </c>
    </row>
    <row r="102" spans="1:10">
      <c r="A102">
        <v>1799</v>
      </c>
      <c r="B102" s="88">
        <v>177.50998418502797</v>
      </c>
      <c r="G102">
        <v>1836</v>
      </c>
      <c r="H102">
        <v>91.107330555189719</v>
      </c>
    </row>
    <row r="103" spans="1:10">
      <c r="A103">
        <v>1800</v>
      </c>
      <c r="B103" s="88">
        <v>235.82675734517971</v>
      </c>
      <c r="C103">
        <v>85.711077884862263</v>
      </c>
      <c r="D103">
        <v>228.92204459076919</v>
      </c>
      <c r="G103">
        <v>1837</v>
      </c>
      <c r="I103">
        <v>1.9</v>
      </c>
      <c r="J103">
        <v>0.9</v>
      </c>
    </row>
    <row r="104" spans="1:10">
      <c r="G104">
        <v>1838</v>
      </c>
    </row>
    <row r="105" spans="1:10">
      <c r="G105">
        <v>1839</v>
      </c>
      <c r="I105">
        <v>1.8</v>
      </c>
      <c r="J105">
        <v>1</v>
      </c>
    </row>
    <row r="106" spans="1:10">
      <c r="G106">
        <v>1840</v>
      </c>
      <c r="I106">
        <v>0.5</v>
      </c>
      <c r="J106">
        <v>0.3</v>
      </c>
    </row>
    <row r="107" spans="1:10">
      <c r="G107">
        <v>1841</v>
      </c>
      <c r="I107">
        <v>0.6</v>
      </c>
      <c r="J107">
        <v>0.3</v>
      </c>
    </row>
    <row r="108" spans="1:10">
      <c r="G108">
        <v>1842</v>
      </c>
      <c r="I108">
        <v>0.5</v>
      </c>
      <c r="J108">
        <v>0.3</v>
      </c>
    </row>
    <row r="109" spans="1:10">
      <c r="G109">
        <v>1843</v>
      </c>
      <c r="I109">
        <v>0.4</v>
      </c>
      <c r="J109">
        <v>0.25</v>
      </c>
    </row>
    <row r="110" spans="1:10">
      <c r="G110">
        <v>1844</v>
      </c>
      <c r="I110">
        <v>0.5</v>
      </c>
      <c r="J110">
        <v>0.33</v>
      </c>
    </row>
    <row r="111" spans="1:10">
      <c r="G111">
        <v>1845</v>
      </c>
      <c r="I111">
        <v>0.65</v>
      </c>
      <c r="J111">
        <v>0.3</v>
      </c>
    </row>
    <row r="112" spans="1:10">
      <c r="G112">
        <v>1846</v>
      </c>
      <c r="I112">
        <v>0.45</v>
      </c>
      <c r="J112">
        <v>0.25</v>
      </c>
    </row>
    <row r="113" spans="7:12">
      <c r="G113">
        <v>1847</v>
      </c>
      <c r="I113">
        <v>0.65</v>
      </c>
      <c r="J113">
        <v>0.35</v>
      </c>
    </row>
    <row r="114" spans="7:12">
      <c r="G114">
        <v>1848</v>
      </c>
      <c r="I114">
        <v>0.5</v>
      </c>
      <c r="J114">
        <v>0.25</v>
      </c>
    </row>
    <row r="115" spans="7:12">
      <c r="G115">
        <v>1849</v>
      </c>
      <c r="I115">
        <v>0.45</v>
      </c>
      <c r="J115">
        <v>0.25</v>
      </c>
    </row>
    <row r="116" spans="7:12">
      <c r="G116">
        <v>1850</v>
      </c>
      <c r="I116">
        <v>0.4</v>
      </c>
      <c r="J116">
        <v>0.25</v>
      </c>
    </row>
    <row r="117" spans="7:12">
      <c r="G117">
        <v>1851</v>
      </c>
      <c r="I117">
        <v>0.4</v>
      </c>
      <c r="J117">
        <v>0.25</v>
      </c>
    </row>
    <row r="118" spans="7:12">
      <c r="G118">
        <v>1852</v>
      </c>
      <c r="I118">
        <v>0.5</v>
      </c>
      <c r="J118">
        <v>0.25</v>
      </c>
    </row>
    <row r="119" spans="7:12">
      <c r="G119">
        <v>1853</v>
      </c>
      <c r="I119">
        <v>0.45</v>
      </c>
      <c r="J119">
        <v>0.25</v>
      </c>
    </row>
    <row r="120" spans="7:12">
      <c r="G120">
        <v>1854</v>
      </c>
      <c r="H120">
        <v>18.348706760678269</v>
      </c>
      <c r="I120">
        <v>0.45</v>
      </c>
      <c r="J120">
        <v>0.25</v>
      </c>
      <c r="K120" s="88">
        <v>2.0437407654453024</v>
      </c>
      <c r="L120" s="88">
        <v>1.1354115363585013</v>
      </c>
    </row>
    <row r="121" spans="7:12">
      <c r="G121">
        <v>1855</v>
      </c>
      <c r="H121">
        <v>18.452094796880097</v>
      </c>
      <c r="I121">
        <v>0.5</v>
      </c>
      <c r="J121">
        <v>0.3</v>
      </c>
      <c r="K121" s="88">
        <v>2.2580995342443027</v>
      </c>
      <c r="L121" s="88">
        <v>1.3548597205465815</v>
      </c>
    </row>
    <row r="122" spans="7:12">
      <c r="G122">
        <v>1856</v>
      </c>
      <c r="I122">
        <v>0.6</v>
      </c>
      <c r="J122">
        <v>0.3</v>
      </c>
    </row>
    <row r="123" spans="7:12">
      <c r="G123">
        <v>1857</v>
      </c>
    </row>
    <row r="124" spans="7:12">
      <c r="G124">
        <v>1858</v>
      </c>
      <c r="I124">
        <v>0.8</v>
      </c>
      <c r="J124">
        <v>0.4</v>
      </c>
    </row>
    <row r="125" spans="7:12">
      <c r="G125">
        <v>1859</v>
      </c>
      <c r="H125">
        <v>22.558937049109325</v>
      </c>
      <c r="I125">
        <v>0.85</v>
      </c>
      <c r="J125">
        <v>0.5</v>
      </c>
      <c r="K125" s="88">
        <v>3.1399233562793234</v>
      </c>
      <c r="L125" s="88">
        <v>1.8470137389878372</v>
      </c>
    </row>
    <row r="126" spans="7:12">
      <c r="G126">
        <v>1860</v>
      </c>
      <c r="I126">
        <v>0.9</v>
      </c>
      <c r="J126">
        <v>0.5</v>
      </c>
    </row>
    <row r="127" spans="7:12">
      <c r="G127">
        <v>1861</v>
      </c>
      <c r="I127">
        <v>1</v>
      </c>
      <c r="J127">
        <v>0.6</v>
      </c>
    </row>
    <row r="128" spans="7:12">
      <c r="G128">
        <v>1862</v>
      </c>
    </row>
    <row r="129" spans="7:12">
      <c r="G129">
        <v>1863</v>
      </c>
      <c r="I129">
        <v>1</v>
      </c>
      <c r="J129">
        <v>0.7</v>
      </c>
    </row>
    <row r="130" spans="7:12">
      <c r="G130">
        <v>1864</v>
      </c>
      <c r="I130">
        <v>1</v>
      </c>
      <c r="J130">
        <v>0.75</v>
      </c>
    </row>
    <row r="131" spans="7:12">
      <c r="G131">
        <v>1865</v>
      </c>
      <c r="H131">
        <v>19.804826639960385</v>
      </c>
      <c r="I131">
        <v>1.1000000000000001</v>
      </c>
      <c r="J131">
        <v>0.75</v>
      </c>
      <c r="K131" s="88">
        <v>4.6285013412695051</v>
      </c>
      <c r="L131" s="88">
        <v>3.1557963690473896</v>
      </c>
    </row>
    <row r="132" spans="7:12">
      <c r="G132">
        <v>1866</v>
      </c>
      <c r="H132">
        <v>26.862015264837307</v>
      </c>
      <c r="I132">
        <v>1.1000000000000001</v>
      </c>
      <c r="J132">
        <v>0.7</v>
      </c>
      <c r="K132" s="88">
        <v>3.4125014732851935</v>
      </c>
      <c r="L132" s="88">
        <v>2.1715918466360322</v>
      </c>
    </row>
    <row r="133" spans="7:12">
      <c r="G133">
        <v>1867</v>
      </c>
      <c r="H133">
        <v>26.835347757052695</v>
      </c>
      <c r="I133">
        <v>1.1000000000000001</v>
      </c>
      <c r="J133">
        <v>0.7</v>
      </c>
      <c r="K133" s="88">
        <v>3.4158926314854785</v>
      </c>
      <c r="L133" s="88">
        <v>2.1737498563998496</v>
      </c>
    </row>
    <row r="134" spans="7:12">
      <c r="G134">
        <v>1868</v>
      </c>
      <c r="H134">
        <v>27.728652961021933</v>
      </c>
    </row>
    <row r="135" spans="7:12">
      <c r="G135">
        <v>1869</v>
      </c>
      <c r="H135">
        <v>27.748413604991157</v>
      </c>
    </row>
    <row r="136" spans="7:12">
      <c r="G136">
        <v>1870</v>
      </c>
      <c r="H136">
        <v>27.460942988960387</v>
      </c>
    </row>
    <row r="137" spans="7:12">
      <c r="G137">
        <v>1871</v>
      </c>
      <c r="H137">
        <v>29.942273016629617</v>
      </c>
      <c r="I137">
        <v>1.17</v>
      </c>
      <c r="J137">
        <v>0.87083330000000003</v>
      </c>
      <c r="K137" s="88">
        <v>3.2562658134153524</v>
      </c>
      <c r="L137" s="88">
        <v>2.4236450461313468</v>
      </c>
    </row>
    <row r="138" spans="7:12">
      <c r="G138">
        <v>1872</v>
      </c>
      <c r="H138">
        <v>27.706159583523078</v>
      </c>
      <c r="I138">
        <v>1.2041667</v>
      </c>
      <c r="J138">
        <v>0.80625000000000002</v>
      </c>
      <c r="K138" s="88">
        <v>3.621838122223072</v>
      </c>
      <c r="L138" s="88">
        <v>2.4250022742219595</v>
      </c>
    </row>
    <row r="139" spans="7:12">
      <c r="G139">
        <v>1873</v>
      </c>
      <c r="H139">
        <v>11.868937893340096</v>
      </c>
      <c r="I139">
        <v>1.1625000000000001</v>
      </c>
      <c r="J139">
        <v>0.75416669999999997</v>
      </c>
      <c r="K139" s="88">
        <v>8.1620614136298197</v>
      </c>
      <c r="L139" s="88">
        <v>5.2951010077544396</v>
      </c>
    </row>
    <row r="140" spans="7:12">
      <c r="G140">
        <v>1874</v>
      </c>
      <c r="H140">
        <v>31.512213573017021</v>
      </c>
      <c r="I140">
        <v>1.1499999999999999</v>
      </c>
      <c r="J140">
        <v>0.86458330000000005</v>
      </c>
      <c r="K140" s="88">
        <v>3.0411488901367623</v>
      </c>
      <c r="L140" s="88">
        <v>2.2863709071528517</v>
      </c>
    </row>
    <row r="141" spans="7:12">
      <c r="G141">
        <v>1875</v>
      </c>
      <c r="H141">
        <v>31.272969900570867</v>
      </c>
      <c r="I141">
        <v>1.2416666999999999</v>
      </c>
      <c r="J141">
        <v>0.94166669999999997</v>
      </c>
      <c r="K141" s="88">
        <v>3.3086791989689215</v>
      </c>
      <c r="L141" s="88">
        <v>2.5092667965177027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figure 1</vt:lpstr>
      <vt:lpstr>table 2</vt:lpstr>
      <vt:lpstr>figure 2</vt:lpstr>
      <vt:lpstr>figure 3</vt:lpstr>
      <vt:lpstr>Sheet1</vt:lpstr>
      <vt:lpstr>Table 3</vt:lpstr>
      <vt:lpstr>figure 4</vt:lpstr>
      <vt:lpstr>figure 5</vt:lpstr>
      <vt:lpstr>Figure 6</vt:lpstr>
      <vt:lpstr>Figure 8</vt:lpstr>
      <vt:lpstr>table 4</vt:lpstr>
      <vt:lpstr>appendix 1</vt:lpstr>
      <vt:lpstr>subsist for Moscow silver AK</vt:lpstr>
      <vt:lpstr>Sheet2</vt:lpstr>
      <vt:lpstr>appendix 2</vt:lpstr>
      <vt:lpstr>wages for Moscow in silver AK</vt:lpstr>
      <vt:lpstr>appendix 3 ratio calculations</vt:lpstr>
      <vt:lpstr>appendix 4 rus eng</vt:lpstr>
      <vt:lpstr>Sheet4</vt:lpstr>
      <vt:lpstr>дворовые расчеты 1786</vt:lpstr>
      <vt:lpstr>subsistence for Moscow</vt:lpstr>
      <vt:lpstr>wages for Moscow</vt:lpstr>
      <vt:lpstr>RW_yearly</vt:lpstr>
      <vt:lpstr>comparison</vt:lpstr>
      <vt:lpstr>'appendix 3 ratio calculations'!_ftnref1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 Shapiro</dc:creator>
  <cp:lastModifiedBy>Elena</cp:lastModifiedBy>
  <dcterms:created xsi:type="dcterms:W3CDTF">2018-04-12T13:30:37Z</dcterms:created>
  <dcterms:modified xsi:type="dcterms:W3CDTF">2025-02-05T12:24:48Z</dcterms:modified>
</cp:coreProperties>
</file>